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事业单位管理2023\2023招聘\"/>
    </mc:Choice>
  </mc:AlternateContent>
  <bookViews>
    <workbookView xWindow="0" yWindow="0" windowWidth="18345" windowHeight="8055"/>
  </bookViews>
  <sheets>
    <sheet name="5473_64ad552749313" sheetId="1" r:id="rId1"/>
  </sheets>
  <definedNames>
    <definedName name="_xlnm._FilterDatabase" localSheetId="0" hidden="1">'5473_64ad552749313'!$A$2:$K$140</definedName>
    <definedName name="_xlnm.Print_Area" localSheetId="0">'5473_64ad552749313'!$A$1:$K$140</definedName>
    <definedName name="_xlnm.Print_Titles" localSheetId="0">'5473_64ad552749313'!$1:$2</definedName>
  </definedNames>
  <calcPr calcId="152511"/>
</workbook>
</file>

<file path=xl/calcChain.xml><?xml version="1.0" encoding="utf-8"?>
<calcChain xmlns="http://schemas.openxmlformats.org/spreadsheetml/2006/main">
  <c r="I140" i="1" l="1"/>
  <c r="H140" i="1"/>
  <c r="E140" i="1"/>
  <c r="D140" i="1"/>
  <c r="C140" i="1"/>
  <c r="B140" i="1"/>
  <c r="I139" i="1"/>
  <c r="H139" i="1"/>
  <c r="E139" i="1"/>
  <c r="D139" i="1"/>
  <c r="C139" i="1"/>
  <c r="B139" i="1"/>
  <c r="I138" i="1"/>
  <c r="H138" i="1"/>
  <c r="E138" i="1"/>
  <c r="D138" i="1"/>
  <c r="C138" i="1"/>
  <c r="B138" i="1"/>
  <c r="I137" i="1"/>
  <c r="H137" i="1"/>
  <c r="E137" i="1"/>
  <c r="D137" i="1"/>
  <c r="C137" i="1"/>
  <c r="B137" i="1"/>
  <c r="I136" i="1"/>
  <c r="H136" i="1"/>
  <c r="E136" i="1"/>
  <c r="D136" i="1"/>
  <c r="C136" i="1"/>
  <c r="B136" i="1"/>
  <c r="I135" i="1"/>
  <c r="H135" i="1"/>
  <c r="E135" i="1"/>
  <c r="D135" i="1"/>
  <c r="C135" i="1"/>
  <c r="B135" i="1"/>
  <c r="I134" i="1"/>
  <c r="H134" i="1"/>
  <c r="E134" i="1"/>
  <c r="D134" i="1"/>
  <c r="C134" i="1"/>
  <c r="B134" i="1"/>
  <c r="I133" i="1"/>
  <c r="H133" i="1"/>
  <c r="E133" i="1"/>
  <c r="D133" i="1"/>
  <c r="C133" i="1"/>
  <c r="B133" i="1"/>
  <c r="I132" i="1"/>
  <c r="H132" i="1"/>
  <c r="E132" i="1"/>
  <c r="D132" i="1"/>
  <c r="C132" i="1"/>
  <c r="B132" i="1"/>
  <c r="I131" i="1"/>
  <c r="H131" i="1"/>
  <c r="E131" i="1"/>
  <c r="D131" i="1"/>
  <c r="C131" i="1"/>
  <c r="B131" i="1"/>
  <c r="I130" i="1"/>
  <c r="H130" i="1"/>
  <c r="E130" i="1"/>
  <c r="D130" i="1"/>
  <c r="C130" i="1"/>
  <c r="B130" i="1"/>
  <c r="I129" i="1"/>
  <c r="H129" i="1"/>
  <c r="E129" i="1"/>
  <c r="D129" i="1"/>
  <c r="C129" i="1"/>
  <c r="B129" i="1"/>
  <c r="I128" i="1"/>
  <c r="H128" i="1"/>
  <c r="E128" i="1"/>
  <c r="D128" i="1"/>
  <c r="C128" i="1"/>
  <c r="B128" i="1"/>
  <c r="I127" i="1"/>
  <c r="H127" i="1"/>
  <c r="E127" i="1"/>
  <c r="D127" i="1"/>
  <c r="C127" i="1"/>
  <c r="B127" i="1"/>
  <c r="I126" i="1"/>
  <c r="H126" i="1"/>
  <c r="E126" i="1"/>
  <c r="D126" i="1"/>
  <c r="C126" i="1"/>
  <c r="B126" i="1"/>
  <c r="I125" i="1"/>
  <c r="H125" i="1"/>
  <c r="E125" i="1"/>
  <c r="D125" i="1"/>
  <c r="C125" i="1"/>
  <c r="B125" i="1"/>
  <c r="I124" i="1"/>
  <c r="H124" i="1"/>
  <c r="E124" i="1"/>
  <c r="D124" i="1"/>
  <c r="C124" i="1"/>
  <c r="B124" i="1"/>
  <c r="I123" i="1"/>
  <c r="H123" i="1"/>
  <c r="E123" i="1"/>
  <c r="D123" i="1"/>
  <c r="C123" i="1"/>
  <c r="B123" i="1"/>
  <c r="I122" i="1"/>
  <c r="H122" i="1"/>
  <c r="E122" i="1"/>
  <c r="D122" i="1"/>
  <c r="C122" i="1"/>
  <c r="B122" i="1"/>
  <c r="I121" i="1"/>
  <c r="H121" i="1"/>
  <c r="E121" i="1"/>
  <c r="D121" i="1"/>
  <c r="C121" i="1"/>
  <c r="B121" i="1"/>
  <c r="I120" i="1"/>
  <c r="H120" i="1"/>
  <c r="E120" i="1"/>
  <c r="D120" i="1"/>
  <c r="C120" i="1"/>
  <c r="B120" i="1"/>
  <c r="I119" i="1"/>
  <c r="H119" i="1"/>
  <c r="E119" i="1"/>
  <c r="D119" i="1"/>
  <c r="C119" i="1"/>
  <c r="B119" i="1"/>
  <c r="I118" i="1"/>
  <c r="H118" i="1"/>
  <c r="E118" i="1"/>
  <c r="D118" i="1"/>
  <c r="C118" i="1"/>
  <c r="B118" i="1"/>
  <c r="I117" i="1"/>
  <c r="H117" i="1"/>
  <c r="E117" i="1"/>
  <c r="D117" i="1"/>
  <c r="C117" i="1"/>
  <c r="B117" i="1"/>
  <c r="I116" i="1"/>
  <c r="H116" i="1"/>
  <c r="E116" i="1"/>
  <c r="D116" i="1"/>
  <c r="C116" i="1"/>
  <c r="B116" i="1"/>
  <c r="I115" i="1"/>
  <c r="H115" i="1"/>
  <c r="E115" i="1"/>
  <c r="D115" i="1"/>
  <c r="C115" i="1"/>
  <c r="B115" i="1"/>
  <c r="I114" i="1"/>
  <c r="H114" i="1"/>
  <c r="E114" i="1"/>
  <c r="D114" i="1"/>
  <c r="C114" i="1"/>
  <c r="B114" i="1"/>
  <c r="I113" i="1"/>
  <c r="H113" i="1"/>
  <c r="E113" i="1"/>
  <c r="D113" i="1"/>
  <c r="C113" i="1"/>
  <c r="B113" i="1"/>
  <c r="I112" i="1"/>
  <c r="H112" i="1"/>
  <c r="E112" i="1"/>
  <c r="D112" i="1"/>
  <c r="C112" i="1"/>
  <c r="B112" i="1"/>
  <c r="I111" i="1"/>
  <c r="H111" i="1"/>
  <c r="E111" i="1"/>
  <c r="D111" i="1"/>
  <c r="C111" i="1"/>
  <c r="B111" i="1"/>
  <c r="I110" i="1"/>
  <c r="H110" i="1"/>
  <c r="E110" i="1"/>
  <c r="D110" i="1"/>
  <c r="C110" i="1"/>
  <c r="B110" i="1"/>
  <c r="I109" i="1"/>
  <c r="H109" i="1"/>
  <c r="E109" i="1"/>
  <c r="D109" i="1"/>
  <c r="C109" i="1"/>
  <c r="B109" i="1"/>
  <c r="I108" i="1"/>
  <c r="H108" i="1"/>
  <c r="E108" i="1"/>
  <c r="D108" i="1"/>
  <c r="C108" i="1"/>
  <c r="B108" i="1"/>
  <c r="I107" i="1"/>
  <c r="H107" i="1"/>
  <c r="E107" i="1"/>
  <c r="D107" i="1"/>
  <c r="C107" i="1"/>
  <c r="B107" i="1"/>
  <c r="I106" i="1"/>
  <c r="H106" i="1"/>
  <c r="E106" i="1"/>
  <c r="D106" i="1"/>
  <c r="C106" i="1"/>
  <c r="B106" i="1"/>
  <c r="I105" i="1"/>
  <c r="H105" i="1"/>
  <c r="E105" i="1"/>
  <c r="D105" i="1"/>
  <c r="C105" i="1"/>
  <c r="B105" i="1"/>
  <c r="I104" i="1"/>
  <c r="H104" i="1"/>
  <c r="E104" i="1"/>
  <c r="D104" i="1"/>
  <c r="C104" i="1"/>
  <c r="B104" i="1"/>
  <c r="I103" i="1"/>
  <c r="H103" i="1"/>
  <c r="E103" i="1"/>
  <c r="D103" i="1"/>
  <c r="C103" i="1"/>
  <c r="B103" i="1"/>
  <c r="I102" i="1"/>
  <c r="H102" i="1"/>
  <c r="E102" i="1"/>
  <c r="D102" i="1"/>
  <c r="C102" i="1"/>
  <c r="B102" i="1"/>
  <c r="I101" i="1"/>
  <c r="H101" i="1"/>
  <c r="E101" i="1"/>
  <c r="D101" i="1"/>
  <c r="C101" i="1"/>
  <c r="B101" i="1"/>
  <c r="I100" i="1"/>
  <c r="H100" i="1"/>
  <c r="E100" i="1"/>
  <c r="D100" i="1"/>
  <c r="C100" i="1"/>
  <c r="B100" i="1"/>
  <c r="I99" i="1"/>
  <c r="H99" i="1"/>
  <c r="E99" i="1"/>
  <c r="D99" i="1"/>
  <c r="C99" i="1"/>
  <c r="B99" i="1"/>
  <c r="I98" i="1"/>
  <c r="H98" i="1"/>
  <c r="E98" i="1"/>
  <c r="D98" i="1"/>
  <c r="C98" i="1"/>
  <c r="B98" i="1"/>
  <c r="I97" i="1"/>
  <c r="H97" i="1"/>
  <c r="E97" i="1"/>
  <c r="D97" i="1"/>
  <c r="C97" i="1"/>
  <c r="B97" i="1"/>
  <c r="I96" i="1"/>
  <c r="H96" i="1"/>
  <c r="E96" i="1"/>
  <c r="D96" i="1"/>
  <c r="C96" i="1"/>
  <c r="B96" i="1"/>
  <c r="I95" i="1"/>
  <c r="H95" i="1"/>
  <c r="E95" i="1"/>
  <c r="D95" i="1"/>
  <c r="C95" i="1"/>
  <c r="B95" i="1"/>
  <c r="I94" i="1"/>
  <c r="H94" i="1"/>
  <c r="E94" i="1"/>
  <c r="D94" i="1"/>
  <c r="C94" i="1"/>
  <c r="B94" i="1"/>
  <c r="I93" i="1"/>
  <c r="H93" i="1"/>
  <c r="E93" i="1"/>
  <c r="D93" i="1"/>
  <c r="C93" i="1"/>
  <c r="B93" i="1"/>
  <c r="I92" i="1"/>
  <c r="H92" i="1"/>
  <c r="E92" i="1"/>
  <c r="D92" i="1"/>
  <c r="C92" i="1"/>
  <c r="B92" i="1"/>
  <c r="I91" i="1"/>
  <c r="H91" i="1"/>
  <c r="E91" i="1"/>
  <c r="D91" i="1"/>
  <c r="C91" i="1"/>
  <c r="B91" i="1"/>
  <c r="I90" i="1"/>
  <c r="H90" i="1"/>
  <c r="E90" i="1"/>
  <c r="D90" i="1"/>
  <c r="C90" i="1"/>
  <c r="B90" i="1"/>
  <c r="I89" i="1"/>
  <c r="H89" i="1"/>
  <c r="E89" i="1"/>
  <c r="D89" i="1"/>
  <c r="C89" i="1"/>
  <c r="B89" i="1"/>
  <c r="I88" i="1"/>
  <c r="H88" i="1"/>
  <c r="E88" i="1"/>
  <c r="D88" i="1"/>
  <c r="C88" i="1"/>
  <c r="B88" i="1"/>
  <c r="I87" i="1"/>
  <c r="H87" i="1"/>
  <c r="E87" i="1"/>
  <c r="D87" i="1"/>
  <c r="C87" i="1"/>
  <c r="B87" i="1"/>
  <c r="I86" i="1"/>
  <c r="H86" i="1"/>
  <c r="E86" i="1"/>
  <c r="D86" i="1"/>
  <c r="C86" i="1"/>
  <c r="B86" i="1"/>
  <c r="I85" i="1"/>
  <c r="H85" i="1"/>
  <c r="E85" i="1"/>
  <c r="D85" i="1"/>
  <c r="C85" i="1"/>
  <c r="B85" i="1"/>
  <c r="I84" i="1"/>
  <c r="H84" i="1"/>
  <c r="E84" i="1"/>
  <c r="D84" i="1"/>
  <c r="C84" i="1"/>
  <c r="B84" i="1"/>
  <c r="I83" i="1"/>
  <c r="H83" i="1"/>
  <c r="E83" i="1"/>
  <c r="D83" i="1"/>
  <c r="C83" i="1"/>
  <c r="B83" i="1"/>
  <c r="I82" i="1"/>
  <c r="H82" i="1"/>
  <c r="E82" i="1"/>
  <c r="D82" i="1"/>
  <c r="C82" i="1"/>
  <c r="B82" i="1"/>
  <c r="I81" i="1"/>
  <c r="H81" i="1"/>
  <c r="E81" i="1"/>
  <c r="D81" i="1"/>
  <c r="C81" i="1"/>
  <c r="B81" i="1"/>
  <c r="I80" i="1"/>
  <c r="H80" i="1"/>
  <c r="E80" i="1"/>
  <c r="D80" i="1"/>
  <c r="C80" i="1"/>
  <c r="B80" i="1"/>
  <c r="I79" i="1"/>
  <c r="H79" i="1"/>
  <c r="E79" i="1"/>
  <c r="D79" i="1"/>
  <c r="C79" i="1"/>
  <c r="B79" i="1"/>
  <c r="I78" i="1"/>
  <c r="H78" i="1"/>
  <c r="E78" i="1"/>
  <c r="D78" i="1"/>
  <c r="C78" i="1"/>
  <c r="B78" i="1"/>
  <c r="I77" i="1"/>
  <c r="H77" i="1"/>
  <c r="E77" i="1"/>
  <c r="D77" i="1"/>
  <c r="C77" i="1"/>
  <c r="B77" i="1"/>
  <c r="I76" i="1"/>
  <c r="H76" i="1"/>
  <c r="E76" i="1"/>
  <c r="D76" i="1"/>
  <c r="C76" i="1"/>
  <c r="B76" i="1"/>
  <c r="I75" i="1"/>
  <c r="H75" i="1"/>
  <c r="E75" i="1"/>
  <c r="D75" i="1"/>
  <c r="C75" i="1"/>
  <c r="B75" i="1"/>
  <c r="I74" i="1"/>
  <c r="H74" i="1"/>
  <c r="E74" i="1"/>
  <c r="D74" i="1"/>
  <c r="C74" i="1"/>
  <c r="B74" i="1"/>
  <c r="I73" i="1"/>
  <c r="H73" i="1"/>
  <c r="E73" i="1"/>
  <c r="D73" i="1"/>
  <c r="C73" i="1"/>
  <c r="B73" i="1"/>
  <c r="I72" i="1"/>
  <c r="H72" i="1"/>
  <c r="E72" i="1"/>
  <c r="D72" i="1"/>
  <c r="C72" i="1"/>
  <c r="B72" i="1"/>
  <c r="I71" i="1"/>
  <c r="H71" i="1"/>
  <c r="E71" i="1"/>
  <c r="D71" i="1"/>
  <c r="C71" i="1"/>
  <c r="B71" i="1"/>
  <c r="I70" i="1"/>
  <c r="H70" i="1"/>
  <c r="E70" i="1"/>
  <c r="D70" i="1"/>
  <c r="C70" i="1"/>
  <c r="B70" i="1"/>
  <c r="I69" i="1"/>
  <c r="H69" i="1"/>
  <c r="E69" i="1"/>
  <c r="D69" i="1"/>
  <c r="C69" i="1"/>
  <c r="B69" i="1"/>
  <c r="I68" i="1"/>
  <c r="H68" i="1"/>
  <c r="E68" i="1"/>
  <c r="D68" i="1"/>
  <c r="C68" i="1"/>
  <c r="B68" i="1"/>
  <c r="I67" i="1"/>
  <c r="H67" i="1"/>
  <c r="E67" i="1"/>
  <c r="D67" i="1"/>
  <c r="C67" i="1"/>
  <c r="B67" i="1"/>
  <c r="I66" i="1"/>
  <c r="H66" i="1"/>
  <c r="E66" i="1"/>
  <c r="D66" i="1"/>
  <c r="C66" i="1"/>
  <c r="B66" i="1"/>
  <c r="I65" i="1"/>
  <c r="H65" i="1"/>
  <c r="E65" i="1"/>
  <c r="D65" i="1"/>
  <c r="C65" i="1"/>
  <c r="B65" i="1"/>
  <c r="I64" i="1"/>
  <c r="H64" i="1"/>
  <c r="E64" i="1"/>
  <c r="D64" i="1"/>
  <c r="C64" i="1"/>
  <c r="B64" i="1"/>
  <c r="I63" i="1"/>
  <c r="H63" i="1"/>
  <c r="E63" i="1"/>
  <c r="D63" i="1"/>
  <c r="C63" i="1"/>
  <c r="B63" i="1"/>
  <c r="I62" i="1"/>
  <c r="H62" i="1"/>
  <c r="E62" i="1"/>
  <c r="D62" i="1"/>
  <c r="C62" i="1"/>
  <c r="B62" i="1"/>
  <c r="I61" i="1"/>
  <c r="H61" i="1"/>
  <c r="E61" i="1"/>
  <c r="D61" i="1"/>
  <c r="C61" i="1"/>
  <c r="B61" i="1"/>
  <c r="I60" i="1"/>
  <c r="H60" i="1"/>
  <c r="E60" i="1"/>
  <c r="D60" i="1"/>
  <c r="C60" i="1"/>
  <c r="B60" i="1"/>
  <c r="I59" i="1"/>
  <c r="H59" i="1"/>
  <c r="E59" i="1"/>
  <c r="D59" i="1"/>
  <c r="C59" i="1"/>
  <c r="B59" i="1"/>
  <c r="I58" i="1"/>
  <c r="H58" i="1"/>
  <c r="E58" i="1"/>
  <c r="D58" i="1"/>
  <c r="C58" i="1"/>
  <c r="B58" i="1"/>
  <c r="I57" i="1"/>
  <c r="H57" i="1"/>
  <c r="E57" i="1"/>
  <c r="D57" i="1"/>
  <c r="C57" i="1"/>
  <c r="B57" i="1"/>
  <c r="I56" i="1"/>
  <c r="H56" i="1"/>
  <c r="E56" i="1"/>
  <c r="D56" i="1"/>
  <c r="C56" i="1"/>
  <c r="B56" i="1"/>
  <c r="I55" i="1"/>
  <c r="H55" i="1"/>
  <c r="E55" i="1"/>
  <c r="D55" i="1"/>
  <c r="C55" i="1"/>
  <c r="B55" i="1"/>
  <c r="I54" i="1"/>
  <c r="H54" i="1"/>
  <c r="E54" i="1"/>
  <c r="D54" i="1"/>
  <c r="C54" i="1"/>
  <c r="B54" i="1"/>
  <c r="I53" i="1"/>
  <c r="H53" i="1"/>
  <c r="E53" i="1"/>
  <c r="D53" i="1"/>
  <c r="C53" i="1"/>
  <c r="B53" i="1"/>
  <c r="I52" i="1"/>
  <c r="H52" i="1"/>
  <c r="E52" i="1"/>
  <c r="D52" i="1"/>
  <c r="C52" i="1"/>
  <c r="B52" i="1"/>
  <c r="I51" i="1"/>
  <c r="H51" i="1"/>
  <c r="E51" i="1"/>
  <c r="D51" i="1"/>
  <c r="C51" i="1"/>
  <c r="B51" i="1"/>
  <c r="I50" i="1"/>
  <c r="H50" i="1"/>
  <c r="E50" i="1"/>
  <c r="D50" i="1"/>
  <c r="C50" i="1"/>
  <c r="B50" i="1"/>
  <c r="I49" i="1"/>
  <c r="H49" i="1"/>
  <c r="E49" i="1"/>
  <c r="D49" i="1"/>
  <c r="C49" i="1"/>
  <c r="B49" i="1"/>
  <c r="I48" i="1"/>
  <c r="H48" i="1"/>
  <c r="E48" i="1"/>
  <c r="D48" i="1"/>
  <c r="C48" i="1"/>
  <c r="B48" i="1"/>
  <c r="I47" i="1"/>
  <c r="H47" i="1"/>
  <c r="E47" i="1"/>
  <c r="D47" i="1"/>
  <c r="C47" i="1"/>
  <c r="B47" i="1"/>
  <c r="I46" i="1"/>
  <c r="H46" i="1"/>
  <c r="E46" i="1"/>
  <c r="D46" i="1"/>
  <c r="C46" i="1"/>
  <c r="B46" i="1"/>
  <c r="I45" i="1"/>
  <c r="H45" i="1"/>
  <c r="E45" i="1"/>
  <c r="D45" i="1"/>
  <c r="C45" i="1"/>
  <c r="B45" i="1"/>
  <c r="I44" i="1"/>
  <c r="H44" i="1"/>
  <c r="E44" i="1"/>
  <c r="D44" i="1"/>
  <c r="C44" i="1"/>
  <c r="B44" i="1"/>
  <c r="I43" i="1"/>
  <c r="H43" i="1"/>
  <c r="E43" i="1"/>
  <c r="D43" i="1"/>
  <c r="C43" i="1"/>
  <c r="B43" i="1"/>
  <c r="I42" i="1"/>
  <c r="H42" i="1"/>
  <c r="E42" i="1"/>
  <c r="D42" i="1"/>
  <c r="C42" i="1"/>
  <c r="B42" i="1"/>
  <c r="I41" i="1"/>
  <c r="H41" i="1"/>
  <c r="E41" i="1"/>
  <c r="D41" i="1"/>
  <c r="C41" i="1"/>
  <c r="B41" i="1"/>
  <c r="I40" i="1"/>
  <c r="H40" i="1"/>
  <c r="E40" i="1"/>
  <c r="D40" i="1"/>
  <c r="C40" i="1"/>
  <c r="B40" i="1"/>
  <c r="I39" i="1"/>
  <c r="H39" i="1"/>
  <c r="E39" i="1"/>
  <c r="D39" i="1"/>
  <c r="C39" i="1"/>
  <c r="B39" i="1"/>
  <c r="I38" i="1"/>
  <c r="H38" i="1"/>
  <c r="E38" i="1"/>
  <c r="D38" i="1"/>
  <c r="C38" i="1"/>
  <c r="B38" i="1"/>
  <c r="I37" i="1"/>
  <c r="H37" i="1"/>
  <c r="E37" i="1"/>
  <c r="D37" i="1"/>
  <c r="C37" i="1"/>
  <c r="B37" i="1"/>
  <c r="I36" i="1"/>
  <c r="H36" i="1"/>
  <c r="E36" i="1"/>
  <c r="D36" i="1"/>
  <c r="C36" i="1"/>
  <c r="B36" i="1"/>
  <c r="I35" i="1"/>
  <c r="H35" i="1"/>
  <c r="E35" i="1"/>
  <c r="D35" i="1"/>
  <c r="C35" i="1"/>
  <c r="B35" i="1"/>
  <c r="I34" i="1"/>
  <c r="H34" i="1"/>
  <c r="E34" i="1"/>
  <c r="D34" i="1"/>
  <c r="C34" i="1"/>
  <c r="B34" i="1"/>
  <c r="I33" i="1"/>
  <c r="H33" i="1"/>
  <c r="E33" i="1"/>
  <c r="D33" i="1"/>
  <c r="C33" i="1"/>
  <c r="B33" i="1"/>
  <c r="I32" i="1"/>
  <c r="H32" i="1"/>
  <c r="E32" i="1"/>
  <c r="D32" i="1"/>
  <c r="C32" i="1"/>
  <c r="B32" i="1"/>
  <c r="I31" i="1"/>
  <c r="H31" i="1"/>
  <c r="E31" i="1"/>
  <c r="D31" i="1"/>
  <c r="C31" i="1"/>
  <c r="B31" i="1"/>
  <c r="I30" i="1"/>
  <c r="H30" i="1"/>
  <c r="E30" i="1"/>
  <c r="D30" i="1"/>
  <c r="C30" i="1"/>
  <c r="B30" i="1"/>
  <c r="I29" i="1"/>
  <c r="H29" i="1"/>
  <c r="E29" i="1"/>
  <c r="D29" i="1"/>
  <c r="C29" i="1"/>
  <c r="B29" i="1"/>
  <c r="I28" i="1"/>
  <c r="H28" i="1"/>
  <c r="E28" i="1"/>
  <c r="D28" i="1"/>
  <c r="C28" i="1"/>
  <c r="B28" i="1"/>
  <c r="I27" i="1"/>
  <c r="H27" i="1"/>
  <c r="E27" i="1"/>
  <c r="D27" i="1"/>
  <c r="C27" i="1"/>
  <c r="B27" i="1"/>
  <c r="I26" i="1"/>
  <c r="H26" i="1"/>
  <c r="E26" i="1"/>
  <c r="D26" i="1"/>
  <c r="C26" i="1"/>
  <c r="B26" i="1"/>
  <c r="I25" i="1"/>
  <c r="H25" i="1"/>
  <c r="E25" i="1"/>
  <c r="D25" i="1"/>
  <c r="C25" i="1"/>
  <c r="B25" i="1"/>
  <c r="I24" i="1"/>
  <c r="H24" i="1"/>
  <c r="E24" i="1"/>
  <c r="D24" i="1"/>
  <c r="C24" i="1"/>
  <c r="B24" i="1"/>
  <c r="I23" i="1"/>
  <c r="H23" i="1"/>
  <c r="E23" i="1"/>
  <c r="D23" i="1"/>
  <c r="C23" i="1"/>
  <c r="B23" i="1"/>
  <c r="I22" i="1"/>
  <c r="H22" i="1"/>
  <c r="E22" i="1"/>
  <c r="D22" i="1"/>
  <c r="C22" i="1"/>
  <c r="B22" i="1"/>
  <c r="I21" i="1"/>
  <c r="H21" i="1"/>
  <c r="E21" i="1"/>
  <c r="D21" i="1"/>
  <c r="C21" i="1"/>
  <c r="B21" i="1"/>
  <c r="I20" i="1"/>
  <c r="H20" i="1"/>
  <c r="E20" i="1"/>
  <c r="D20" i="1"/>
  <c r="C20" i="1"/>
  <c r="B20" i="1"/>
  <c r="I19" i="1"/>
  <c r="H19" i="1"/>
  <c r="E19" i="1"/>
  <c r="D19" i="1"/>
  <c r="C19" i="1"/>
  <c r="B19" i="1"/>
  <c r="I18" i="1"/>
  <c r="H18" i="1"/>
  <c r="E18" i="1"/>
  <c r="D18" i="1"/>
  <c r="C18" i="1"/>
  <c r="B18" i="1"/>
  <c r="I17" i="1"/>
  <c r="H17" i="1"/>
  <c r="E17" i="1"/>
  <c r="D17" i="1"/>
  <c r="C17" i="1"/>
  <c r="B17" i="1"/>
  <c r="I16" i="1"/>
  <c r="H16" i="1"/>
  <c r="E16" i="1"/>
  <c r="D16" i="1"/>
  <c r="C16" i="1"/>
  <c r="B16" i="1"/>
  <c r="I15" i="1"/>
  <c r="H15" i="1"/>
  <c r="E15" i="1"/>
  <c r="D15" i="1"/>
  <c r="C15" i="1"/>
  <c r="B15" i="1"/>
  <c r="I14" i="1"/>
  <c r="H14" i="1"/>
  <c r="E14" i="1"/>
  <c r="D14" i="1"/>
  <c r="C14" i="1"/>
  <c r="B14" i="1"/>
  <c r="I13" i="1"/>
  <c r="H13" i="1"/>
  <c r="E13" i="1"/>
  <c r="D13" i="1"/>
  <c r="C13" i="1"/>
  <c r="B13" i="1"/>
  <c r="I12" i="1"/>
  <c r="H12" i="1"/>
  <c r="E12" i="1"/>
  <c r="D12" i="1"/>
  <c r="C12" i="1"/>
  <c r="B12" i="1"/>
  <c r="I11" i="1"/>
  <c r="H11" i="1"/>
  <c r="E11" i="1"/>
  <c r="D11" i="1"/>
  <c r="C11" i="1"/>
  <c r="B11" i="1"/>
  <c r="I10" i="1"/>
  <c r="H10" i="1"/>
  <c r="E10" i="1"/>
  <c r="D10" i="1"/>
  <c r="C10" i="1"/>
  <c r="B10" i="1"/>
  <c r="I9" i="1"/>
  <c r="H9" i="1"/>
  <c r="E9" i="1"/>
  <c r="D9" i="1"/>
  <c r="C9" i="1"/>
  <c r="B9" i="1"/>
  <c r="I8" i="1"/>
  <c r="H8" i="1"/>
  <c r="E8" i="1"/>
  <c r="D8" i="1"/>
  <c r="C8" i="1"/>
  <c r="B8" i="1"/>
  <c r="I7" i="1"/>
  <c r="H7" i="1"/>
  <c r="E7" i="1"/>
  <c r="D7" i="1"/>
  <c r="C7" i="1"/>
  <c r="B7" i="1"/>
  <c r="I6" i="1"/>
  <c r="H6" i="1"/>
  <c r="E6" i="1"/>
  <c r="D6" i="1"/>
  <c r="C6" i="1"/>
  <c r="B6" i="1"/>
  <c r="I5" i="1"/>
  <c r="H5" i="1"/>
  <c r="E5" i="1"/>
  <c r="D5" i="1"/>
  <c r="C5" i="1"/>
  <c r="B5" i="1"/>
  <c r="I4" i="1"/>
  <c r="H4" i="1"/>
  <c r="E4" i="1"/>
  <c r="D4" i="1"/>
  <c r="C4" i="1"/>
  <c r="B4" i="1"/>
  <c r="I3" i="1"/>
  <c r="H3" i="1"/>
  <c r="E3" i="1"/>
  <c r="D3" i="1"/>
  <c r="C3" i="1"/>
  <c r="B3" i="1"/>
</calcChain>
</file>

<file path=xl/sharedStrings.xml><?xml version="1.0" encoding="utf-8"?>
<sst xmlns="http://schemas.openxmlformats.org/spreadsheetml/2006/main" count="288" uniqueCount="29">
  <si>
    <t>序号</t>
  </si>
  <si>
    <t>姓名</t>
  </si>
  <si>
    <t>性别</t>
  </si>
  <si>
    <t>准考证号</t>
  </si>
  <si>
    <t>岗位代码</t>
  </si>
  <si>
    <t>岗位名称</t>
  </si>
  <si>
    <t>招聘单位</t>
  </si>
  <si>
    <t>考场号</t>
  </si>
  <si>
    <t>座位号</t>
  </si>
  <si>
    <t>笔试成绩</t>
  </si>
  <si>
    <t>备注</t>
  </si>
  <si>
    <t>语文教师</t>
  </si>
  <si>
    <t>高中</t>
  </si>
  <si>
    <t>数学教师</t>
  </si>
  <si>
    <t>英语教师</t>
  </si>
  <si>
    <t>政治教师</t>
  </si>
  <si>
    <t>地理教师</t>
  </si>
  <si>
    <t>物理教师</t>
  </si>
  <si>
    <t>生物教师</t>
  </si>
  <si>
    <t>初中</t>
  </si>
  <si>
    <t>历史教师</t>
  </si>
  <si>
    <t>化学教师</t>
  </si>
  <si>
    <t>音乐教师</t>
  </si>
  <si>
    <t>体育教师</t>
  </si>
  <si>
    <t>美术教师</t>
  </si>
  <si>
    <t>信息技术教师</t>
  </si>
  <si>
    <t>心理健康教育教师</t>
  </si>
  <si>
    <t>小学</t>
  </si>
  <si>
    <t>东安县2023年公开招聘教师面试入围资格审查名单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</si>
</sst>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124" zoomScale="145" zoomScaleNormal="145" workbookViewId="0">
      <selection activeCell="M73" sqref="M73"/>
    </sheetView>
  </sheetViews>
  <sheetFormatPr defaultColWidth="9.5" defaultRowHeight="14.25" customHeight="1"/>
  <cols>
    <col min="1" max="1" width="5" style="3" customWidth="1"/>
    <col min="2" max="2" width="8.25" style="3" customWidth="1"/>
    <col min="3" max="3" width="5" style="3" customWidth="1"/>
    <col min="4" max="4" width="12.125" style="3" customWidth="1"/>
    <col min="5" max="5" width="4.625" style="3" customWidth="1"/>
    <col min="6" max="6" width="10.375" style="3" customWidth="1"/>
    <col min="7" max="7" width="6.875" style="3" customWidth="1"/>
    <col min="8" max="8" width="5.875" style="3" customWidth="1"/>
    <col min="9" max="9" width="6.875" style="3" customWidth="1"/>
    <col min="10" max="10" width="8.25" style="3" customWidth="1"/>
    <col min="11" max="11" width="7.375" style="3" customWidth="1"/>
    <col min="12" max="16384" width="9.5" style="1"/>
  </cols>
  <sheetData>
    <row r="1" spans="1:11" ht="31.5" customHeight="1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s="4" customFormat="1" ht="14.25" customHeight="1">
      <c r="A3" s="8">
        <v>1</v>
      </c>
      <c r="B3" s="9" t="str">
        <f>"肖言萍"</f>
        <v>肖言萍</v>
      </c>
      <c r="C3" s="9" t="str">
        <f>"女"</f>
        <v>女</v>
      </c>
      <c r="D3" s="9" t="str">
        <f>"202301229323"</f>
        <v>202301229323</v>
      </c>
      <c r="E3" s="8" t="str">
        <f t="shared" ref="E3:E6" si="0">"01"</f>
        <v>01</v>
      </c>
      <c r="F3" s="9" t="s">
        <v>11</v>
      </c>
      <c r="G3" s="9" t="s">
        <v>12</v>
      </c>
      <c r="H3" s="9" t="str">
        <f t="shared" ref="H3:H6" si="1">"93"</f>
        <v>93</v>
      </c>
      <c r="I3" s="9" t="str">
        <f>"23"</f>
        <v>23</v>
      </c>
      <c r="J3" s="9">
        <v>80.05</v>
      </c>
      <c r="K3" s="9"/>
    </row>
    <row r="4" spans="1:11" s="4" customFormat="1" ht="14.25" customHeight="1">
      <c r="A4" s="8">
        <v>2</v>
      </c>
      <c r="B4" s="9" t="str">
        <f>"陈慧英"</f>
        <v>陈慧英</v>
      </c>
      <c r="C4" s="9" t="str">
        <f>"女"</f>
        <v>女</v>
      </c>
      <c r="D4" s="9" t="str">
        <f>"202301229314"</f>
        <v>202301229314</v>
      </c>
      <c r="E4" s="8" t="str">
        <f t="shared" si="0"/>
        <v>01</v>
      </c>
      <c r="F4" s="9" t="s">
        <v>11</v>
      </c>
      <c r="G4" s="9" t="s">
        <v>12</v>
      </c>
      <c r="H4" s="9" t="str">
        <f t="shared" si="1"/>
        <v>93</v>
      </c>
      <c r="I4" s="9" t="str">
        <f>"14"</f>
        <v>14</v>
      </c>
      <c r="J4" s="9">
        <v>78.45</v>
      </c>
      <c r="K4" s="9"/>
    </row>
    <row r="5" spans="1:11" s="4" customFormat="1" ht="14.25" customHeight="1">
      <c r="A5" s="8">
        <v>3</v>
      </c>
      <c r="B5" s="8" t="str">
        <f>"曾延茂"</f>
        <v>曾延茂</v>
      </c>
      <c r="C5" s="8" t="str">
        <f>"男"</f>
        <v>男</v>
      </c>
      <c r="D5" s="8" t="str">
        <f>"202301229318"</f>
        <v>202301229318</v>
      </c>
      <c r="E5" s="8" t="str">
        <f t="shared" si="0"/>
        <v>01</v>
      </c>
      <c r="F5" s="8" t="s">
        <v>11</v>
      </c>
      <c r="G5" s="8" t="s">
        <v>12</v>
      </c>
      <c r="H5" s="8" t="str">
        <f t="shared" si="1"/>
        <v>93</v>
      </c>
      <c r="I5" s="8" t="str">
        <f>"18"</f>
        <v>18</v>
      </c>
      <c r="J5" s="8">
        <v>78.400000000000006</v>
      </c>
      <c r="K5" s="8"/>
    </row>
    <row r="6" spans="1:11" s="5" customFormat="1" ht="14.25" customHeight="1">
      <c r="A6" s="8">
        <v>4</v>
      </c>
      <c r="B6" s="9" t="str">
        <f>"胡先达"</f>
        <v>胡先达</v>
      </c>
      <c r="C6" s="9" t="str">
        <f>"男"</f>
        <v>男</v>
      </c>
      <c r="D6" s="9" t="str">
        <f>"202301229333"</f>
        <v>202301229333</v>
      </c>
      <c r="E6" s="8" t="str">
        <f t="shared" si="0"/>
        <v>01</v>
      </c>
      <c r="F6" s="9" t="s">
        <v>11</v>
      </c>
      <c r="G6" s="9" t="s">
        <v>12</v>
      </c>
      <c r="H6" s="9" t="str">
        <f t="shared" si="1"/>
        <v>93</v>
      </c>
      <c r="I6" s="9" t="str">
        <f>"33"</f>
        <v>33</v>
      </c>
      <c r="J6" s="9">
        <v>78.400000000000006</v>
      </c>
      <c r="K6" s="9"/>
    </row>
    <row r="7" spans="1:11" s="4" customFormat="1" ht="14.25" customHeight="1">
      <c r="A7" s="8">
        <v>5</v>
      </c>
      <c r="B7" s="8" t="str">
        <f>"田欣"</f>
        <v>田欣</v>
      </c>
      <c r="C7" s="8" t="str">
        <f t="shared" ref="C7" si="2">"女"</f>
        <v>女</v>
      </c>
      <c r="D7" s="8" t="str">
        <f>"202301229428"</f>
        <v>202301229428</v>
      </c>
      <c r="E7" s="9" t="str">
        <f t="shared" ref="E7:E10" si="3">"02"</f>
        <v>02</v>
      </c>
      <c r="F7" s="8" t="s">
        <v>13</v>
      </c>
      <c r="G7" s="8" t="s">
        <v>12</v>
      </c>
      <c r="H7" s="8" t="str">
        <f>"94"</f>
        <v>94</v>
      </c>
      <c r="I7" s="8" t="str">
        <f>"28"</f>
        <v>28</v>
      </c>
      <c r="J7" s="8">
        <v>74.099999999999994</v>
      </c>
      <c r="K7" s="8"/>
    </row>
    <row r="8" spans="1:11" s="4" customFormat="1" ht="14.25" customHeight="1">
      <c r="A8" s="8">
        <v>6</v>
      </c>
      <c r="B8" s="8" t="str">
        <f>"谭小康"</f>
        <v>谭小康</v>
      </c>
      <c r="C8" s="8" t="str">
        <f>"男"</f>
        <v>男</v>
      </c>
      <c r="D8" s="8" t="str">
        <f>"202301229405"</f>
        <v>202301229405</v>
      </c>
      <c r="E8" s="9" t="str">
        <f t="shared" si="3"/>
        <v>02</v>
      </c>
      <c r="F8" s="8" t="s">
        <v>13</v>
      </c>
      <c r="G8" s="8" t="s">
        <v>12</v>
      </c>
      <c r="H8" s="8" t="str">
        <f>"94"</f>
        <v>94</v>
      </c>
      <c r="I8" s="8" t="str">
        <f>"05"</f>
        <v>05</v>
      </c>
      <c r="J8" s="8">
        <v>73.2</v>
      </c>
      <c r="K8" s="8"/>
    </row>
    <row r="9" spans="1:11" s="4" customFormat="1" ht="14.25" customHeight="1">
      <c r="A9" s="8">
        <v>7</v>
      </c>
      <c r="B9" s="8" t="str">
        <f>"李春梅"</f>
        <v>李春梅</v>
      </c>
      <c r="C9" s="8" t="str">
        <f>"女"</f>
        <v>女</v>
      </c>
      <c r="D9" s="8" t="str">
        <f>"202301229515"</f>
        <v>202301229515</v>
      </c>
      <c r="E9" s="9" t="str">
        <f t="shared" si="3"/>
        <v>02</v>
      </c>
      <c r="F9" s="8" t="s">
        <v>13</v>
      </c>
      <c r="G9" s="8" t="s">
        <v>12</v>
      </c>
      <c r="H9" s="8" t="str">
        <f>"95"</f>
        <v>95</v>
      </c>
      <c r="I9" s="8" t="str">
        <f>"15"</f>
        <v>15</v>
      </c>
      <c r="J9" s="8">
        <v>68.7</v>
      </c>
      <c r="K9" s="8"/>
    </row>
    <row r="10" spans="1:11" s="5" customFormat="1" ht="14.25" customHeight="1">
      <c r="A10" s="8">
        <v>8</v>
      </c>
      <c r="B10" s="8" t="str">
        <f>"邹青书"</f>
        <v>邹青书</v>
      </c>
      <c r="C10" s="8" t="str">
        <f>"男"</f>
        <v>男</v>
      </c>
      <c r="D10" s="8" t="str">
        <f>"202301229524"</f>
        <v>202301229524</v>
      </c>
      <c r="E10" s="9" t="str">
        <f t="shared" si="3"/>
        <v>02</v>
      </c>
      <c r="F10" s="8" t="s">
        <v>13</v>
      </c>
      <c r="G10" s="8" t="s">
        <v>12</v>
      </c>
      <c r="H10" s="8" t="str">
        <f>"95"</f>
        <v>95</v>
      </c>
      <c r="I10" s="8" t="str">
        <f>"24"</f>
        <v>24</v>
      </c>
      <c r="J10" s="8">
        <v>65.150000000000006</v>
      </c>
      <c r="K10" s="8"/>
    </row>
    <row r="11" spans="1:11" s="4" customFormat="1" ht="14.25" customHeight="1">
      <c r="A11" s="8">
        <v>9</v>
      </c>
      <c r="B11" s="8" t="str">
        <f>"唐蕾"</f>
        <v>唐蕾</v>
      </c>
      <c r="C11" s="8" t="str">
        <f>"女"</f>
        <v>女</v>
      </c>
      <c r="D11" s="8" t="str">
        <f>"202301228723"</f>
        <v>202301228723</v>
      </c>
      <c r="E11" s="8" t="str">
        <f t="shared" ref="E11:E14" si="4">"03"</f>
        <v>03</v>
      </c>
      <c r="F11" s="8" t="s">
        <v>14</v>
      </c>
      <c r="G11" s="8" t="s">
        <v>12</v>
      </c>
      <c r="H11" s="8" t="str">
        <f>"87"</f>
        <v>87</v>
      </c>
      <c r="I11" s="8" t="str">
        <f>"23"</f>
        <v>23</v>
      </c>
      <c r="J11" s="8">
        <v>84.4</v>
      </c>
      <c r="K11" s="8"/>
    </row>
    <row r="12" spans="1:11" s="5" customFormat="1" ht="14.25" customHeight="1">
      <c r="A12" s="8">
        <v>10</v>
      </c>
      <c r="B12" s="8" t="str">
        <f>"褚良"</f>
        <v>褚良</v>
      </c>
      <c r="C12" s="8" t="str">
        <f>"男"</f>
        <v>男</v>
      </c>
      <c r="D12" s="8" t="str">
        <f>"202301229034"</f>
        <v>202301229034</v>
      </c>
      <c r="E12" s="8" t="str">
        <f t="shared" si="4"/>
        <v>03</v>
      </c>
      <c r="F12" s="8" t="s">
        <v>14</v>
      </c>
      <c r="G12" s="8" t="s">
        <v>12</v>
      </c>
      <c r="H12" s="8" t="str">
        <f>"90"</f>
        <v>90</v>
      </c>
      <c r="I12" s="8" t="str">
        <f>"34"</f>
        <v>34</v>
      </c>
      <c r="J12" s="8">
        <v>82.05</v>
      </c>
      <c r="K12" s="8"/>
    </row>
    <row r="13" spans="1:11" s="5" customFormat="1" ht="14.25" customHeight="1">
      <c r="A13" s="8">
        <v>11</v>
      </c>
      <c r="B13" s="9" t="str">
        <f>"胡宏斌"</f>
        <v>胡宏斌</v>
      </c>
      <c r="C13" s="9" t="str">
        <f>"男"</f>
        <v>男</v>
      </c>
      <c r="D13" s="9" t="str">
        <f>"202301228820"</f>
        <v>202301228820</v>
      </c>
      <c r="E13" s="8" t="str">
        <f t="shared" si="4"/>
        <v>03</v>
      </c>
      <c r="F13" s="9" t="s">
        <v>14</v>
      </c>
      <c r="G13" s="9" t="s">
        <v>12</v>
      </c>
      <c r="H13" s="9" t="str">
        <f>"88"</f>
        <v>88</v>
      </c>
      <c r="I13" s="9" t="str">
        <f>"20"</f>
        <v>20</v>
      </c>
      <c r="J13" s="9">
        <v>79.400000000000006</v>
      </c>
      <c r="K13" s="9"/>
    </row>
    <row r="14" spans="1:11" s="5" customFormat="1" ht="14.25" customHeight="1">
      <c r="A14" s="8">
        <v>12</v>
      </c>
      <c r="B14" s="8" t="str">
        <f>"黄诗思"</f>
        <v>黄诗思</v>
      </c>
      <c r="C14" s="8" t="str">
        <f>"女"</f>
        <v>女</v>
      </c>
      <c r="D14" s="8" t="str">
        <f>"202301228822"</f>
        <v>202301228822</v>
      </c>
      <c r="E14" s="8" t="str">
        <f t="shared" si="4"/>
        <v>03</v>
      </c>
      <c r="F14" s="8" t="s">
        <v>14</v>
      </c>
      <c r="G14" s="8" t="s">
        <v>12</v>
      </c>
      <c r="H14" s="8" t="str">
        <f>"88"</f>
        <v>88</v>
      </c>
      <c r="I14" s="8" t="str">
        <f>"22"</f>
        <v>22</v>
      </c>
      <c r="J14" s="8">
        <v>79.400000000000006</v>
      </c>
      <c r="K14" s="8"/>
    </row>
    <row r="15" spans="1:11" s="5" customFormat="1" ht="14.25" customHeight="1">
      <c r="A15" s="8">
        <v>13</v>
      </c>
      <c r="B15" s="8" t="str">
        <f>"陈诗芬"</f>
        <v>陈诗芬</v>
      </c>
      <c r="C15" s="8" t="str">
        <f t="shared" ref="C15:C20" si="5">"女"</f>
        <v>女</v>
      </c>
      <c r="D15" s="8" t="str">
        <f>"202301228627"</f>
        <v>202301228627</v>
      </c>
      <c r="E15" s="8" t="str">
        <f t="shared" ref="E15:E16" si="6">"04"</f>
        <v>04</v>
      </c>
      <c r="F15" s="8" t="s">
        <v>15</v>
      </c>
      <c r="G15" s="8" t="s">
        <v>12</v>
      </c>
      <c r="H15" s="8" t="str">
        <f t="shared" ref="H15:H16" si="7">"86"</f>
        <v>86</v>
      </c>
      <c r="I15" s="8" t="str">
        <f>"27"</f>
        <v>27</v>
      </c>
      <c r="J15" s="8">
        <v>82.45</v>
      </c>
      <c r="K15" s="8"/>
    </row>
    <row r="16" spans="1:11" s="5" customFormat="1" ht="14.25" customHeight="1">
      <c r="A16" s="8">
        <v>14</v>
      </c>
      <c r="B16" s="8" t="str">
        <f>"石春兰"</f>
        <v>石春兰</v>
      </c>
      <c r="C16" s="8" t="str">
        <f t="shared" si="5"/>
        <v>女</v>
      </c>
      <c r="D16" s="8" t="str">
        <f>"202301228628"</f>
        <v>202301228628</v>
      </c>
      <c r="E16" s="8" t="str">
        <f t="shared" si="6"/>
        <v>04</v>
      </c>
      <c r="F16" s="8" t="s">
        <v>15</v>
      </c>
      <c r="G16" s="8" t="s">
        <v>12</v>
      </c>
      <c r="H16" s="8" t="str">
        <f t="shared" si="7"/>
        <v>86</v>
      </c>
      <c r="I16" s="8" t="str">
        <f>"28"</f>
        <v>28</v>
      </c>
      <c r="J16" s="8">
        <v>76.3</v>
      </c>
      <c r="K16" s="8"/>
    </row>
    <row r="17" spans="1:11" s="5" customFormat="1" ht="14.25" customHeight="1">
      <c r="A17" s="8">
        <v>15</v>
      </c>
      <c r="B17" s="8" t="str">
        <f>"周慧"</f>
        <v>周慧</v>
      </c>
      <c r="C17" s="8" t="str">
        <f t="shared" si="5"/>
        <v>女</v>
      </c>
      <c r="D17" s="8" t="str">
        <f>"202301229120"</f>
        <v>202301229120</v>
      </c>
      <c r="E17" s="9" t="str">
        <f t="shared" ref="E17:E20" si="8">"05"</f>
        <v>05</v>
      </c>
      <c r="F17" s="8" t="s">
        <v>16</v>
      </c>
      <c r="G17" s="8" t="s">
        <v>12</v>
      </c>
      <c r="H17" s="8" t="str">
        <f t="shared" ref="H17:H20" si="9">"91"</f>
        <v>91</v>
      </c>
      <c r="I17" s="8" t="str">
        <f>"20"</f>
        <v>20</v>
      </c>
      <c r="J17" s="8">
        <v>80.05</v>
      </c>
      <c r="K17" s="8"/>
    </row>
    <row r="18" spans="1:11" s="4" customFormat="1" ht="14.25" customHeight="1">
      <c r="A18" s="8">
        <v>16</v>
      </c>
      <c r="B18" s="8" t="str">
        <f>"贺柳"</f>
        <v>贺柳</v>
      </c>
      <c r="C18" s="8" t="str">
        <f t="shared" si="5"/>
        <v>女</v>
      </c>
      <c r="D18" s="8" t="str">
        <f>"202301229123"</f>
        <v>202301229123</v>
      </c>
      <c r="E18" s="9" t="str">
        <f t="shared" si="8"/>
        <v>05</v>
      </c>
      <c r="F18" s="8" t="s">
        <v>16</v>
      </c>
      <c r="G18" s="8" t="s">
        <v>12</v>
      </c>
      <c r="H18" s="8" t="str">
        <f t="shared" si="9"/>
        <v>91</v>
      </c>
      <c r="I18" s="8" t="str">
        <f>"23"</f>
        <v>23</v>
      </c>
      <c r="J18" s="8">
        <v>78.599999999999994</v>
      </c>
      <c r="K18" s="8"/>
    </row>
    <row r="19" spans="1:11" s="4" customFormat="1" ht="14.25" customHeight="1">
      <c r="A19" s="8">
        <v>17</v>
      </c>
      <c r="B19" s="8" t="str">
        <f>"刘也"</f>
        <v>刘也</v>
      </c>
      <c r="C19" s="8" t="str">
        <f t="shared" si="5"/>
        <v>女</v>
      </c>
      <c r="D19" s="8" t="str">
        <f>"202301229129"</f>
        <v>202301229129</v>
      </c>
      <c r="E19" s="9" t="str">
        <f t="shared" si="8"/>
        <v>05</v>
      </c>
      <c r="F19" s="8" t="s">
        <v>16</v>
      </c>
      <c r="G19" s="8" t="s">
        <v>12</v>
      </c>
      <c r="H19" s="8" t="str">
        <f t="shared" si="9"/>
        <v>91</v>
      </c>
      <c r="I19" s="8" t="str">
        <f>"29"</f>
        <v>29</v>
      </c>
      <c r="J19" s="8">
        <v>76.150000000000006</v>
      </c>
      <c r="K19" s="8"/>
    </row>
    <row r="20" spans="1:11" s="5" customFormat="1" ht="14.25" customHeight="1">
      <c r="A20" s="8">
        <v>18</v>
      </c>
      <c r="B20" s="8" t="str">
        <f>"王涵"</f>
        <v>王涵</v>
      </c>
      <c r="C20" s="8" t="str">
        <f t="shared" si="5"/>
        <v>女</v>
      </c>
      <c r="D20" s="8" t="str">
        <f>"202301229122"</f>
        <v>202301229122</v>
      </c>
      <c r="E20" s="9" t="str">
        <f t="shared" si="8"/>
        <v>05</v>
      </c>
      <c r="F20" s="8" t="s">
        <v>16</v>
      </c>
      <c r="G20" s="8" t="s">
        <v>12</v>
      </c>
      <c r="H20" s="8" t="str">
        <f t="shared" si="9"/>
        <v>91</v>
      </c>
      <c r="I20" s="8" t="str">
        <f>"22"</f>
        <v>22</v>
      </c>
      <c r="J20" s="8">
        <v>75.849999999999994</v>
      </c>
      <c r="K20" s="8"/>
    </row>
    <row r="21" spans="1:11" s="4" customFormat="1" ht="14.25" customHeight="1">
      <c r="A21" s="8">
        <v>19</v>
      </c>
      <c r="B21" s="8" t="str">
        <f>"万之璇"</f>
        <v>万之璇</v>
      </c>
      <c r="C21" s="8" t="str">
        <f>"女"</f>
        <v>女</v>
      </c>
      <c r="D21" s="8" t="str">
        <f>"202301229603"</f>
        <v>202301229603</v>
      </c>
      <c r="E21" s="8" t="str">
        <f t="shared" ref="E21:E24" si="10">"06"</f>
        <v>06</v>
      </c>
      <c r="F21" s="8" t="s">
        <v>17</v>
      </c>
      <c r="G21" s="8" t="s">
        <v>12</v>
      </c>
      <c r="H21" s="8" t="str">
        <f>"96"</f>
        <v>96</v>
      </c>
      <c r="I21" s="8" t="str">
        <f>"03"</f>
        <v>03</v>
      </c>
      <c r="J21" s="8">
        <v>85.25</v>
      </c>
      <c r="K21" s="8"/>
    </row>
    <row r="22" spans="1:11" s="4" customFormat="1" ht="14.25" customHeight="1">
      <c r="A22" s="8">
        <v>20</v>
      </c>
      <c r="B22" s="8" t="str">
        <f>"唐平"</f>
        <v>唐平</v>
      </c>
      <c r="C22" s="8" t="str">
        <f t="shared" ref="C22:C24" si="11">"男"</f>
        <v>男</v>
      </c>
      <c r="D22" s="8" t="str">
        <f>"202301229611"</f>
        <v>202301229611</v>
      </c>
      <c r="E22" s="8" t="str">
        <f t="shared" si="10"/>
        <v>06</v>
      </c>
      <c r="F22" s="8" t="s">
        <v>17</v>
      </c>
      <c r="G22" s="8" t="s">
        <v>12</v>
      </c>
      <c r="H22" s="8" t="str">
        <f>"96"</f>
        <v>96</v>
      </c>
      <c r="I22" s="8" t="str">
        <f>"11"</f>
        <v>11</v>
      </c>
      <c r="J22" s="8">
        <v>82.5</v>
      </c>
      <c r="K22" s="8"/>
    </row>
    <row r="23" spans="1:11" s="4" customFormat="1" ht="14.25" customHeight="1">
      <c r="A23" s="8">
        <v>21</v>
      </c>
      <c r="B23" s="8" t="str">
        <f>"涂金龙"</f>
        <v>涂金龙</v>
      </c>
      <c r="C23" s="8" t="str">
        <f t="shared" si="11"/>
        <v>男</v>
      </c>
      <c r="D23" s="8" t="str">
        <f>"202301229530"</f>
        <v>202301229530</v>
      </c>
      <c r="E23" s="8" t="str">
        <f t="shared" si="10"/>
        <v>06</v>
      </c>
      <c r="F23" s="8" t="s">
        <v>17</v>
      </c>
      <c r="G23" s="8" t="s">
        <v>12</v>
      </c>
      <c r="H23" s="8" t="str">
        <f>"95"</f>
        <v>95</v>
      </c>
      <c r="I23" s="8" t="str">
        <f>"30"</f>
        <v>30</v>
      </c>
      <c r="J23" s="8">
        <v>82.3</v>
      </c>
      <c r="K23" s="8"/>
    </row>
    <row r="24" spans="1:11" s="4" customFormat="1" ht="14.25" customHeight="1">
      <c r="A24" s="8">
        <v>22</v>
      </c>
      <c r="B24" s="8" t="str">
        <f>"周文俊"</f>
        <v>周文俊</v>
      </c>
      <c r="C24" s="8" t="str">
        <f t="shared" si="11"/>
        <v>男</v>
      </c>
      <c r="D24" s="8" t="str">
        <f>"202301229534"</f>
        <v>202301229534</v>
      </c>
      <c r="E24" s="8" t="str">
        <f t="shared" si="10"/>
        <v>06</v>
      </c>
      <c r="F24" s="8" t="s">
        <v>17</v>
      </c>
      <c r="G24" s="8" t="s">
        <v>12</v>
      </c>
      <c r="H24" s="8" t="str">
        <f>"95"</f>
        <v>95</v>
      </c>
      <c r="I24" s="8" t="str">
        <f>"34"</f>
        <v>34</v>
      </c>
      <c r="J24" s="8">
        <v>78.349999999999994</v>
      </c>
      <c r="K24" s="8"/>
    </row>
    <row r="25" spans="1:11" s="4" customFormat="1" ht="14.25" customHeight="1">
      <c r="A25" s="8">
        <v>23</v>
      </c>
      <c r="B25" s="8" t="str">
        <f>"王春霖"</f>
        <v>王春霖</v>
      </c>
      <c r="C25" s="8" t="str">
        <f t="shared" ref="C25:C26" si="12">"女"</f>
        <v>女</v>
      </c>
      <c r="D25" s="8" t="str">
        <f>"202301228624"</f>
        <v>202301228624</v>
      </c>
      <c r="E25" s="9" t="str">
        <f t="shared" ref="E25:E26" si="13">"07"</f>
        <v>07</v>
      </c>
      <c r="F25" s="8" t="s">
        <v>18</v>
      </c>
      <c r="G25" s="8" t="s">
        <v>12</v>
      </c>
      <c r="H25" s="8" t="str">
        <f t="shared" ref="H25:H26" si="14">"86"</f>
        <v>86</v>
      </c>
      <c r="I25" s="8" t="str">
        <f>"24"</f>
        <v>24</v>
      </c>
      <c r="J25" s="8">
        <v>73.900000000000006</v>
      </c>
      <c r="K25" s="8"/>
    </row>
    <row r="26" spans="1:11" s="4" customFormat="1" ht="14.25" customHeight="1">
      <c r="A26" s="8">
        <v>24</v>
      </c>
      <c r="B26" s="8" t="str">
        <f>"秦璐"</f>
        <v>秦璐</v>
      </c>
      <c r="C26" s="8" t="str">
        <f t="shared" si="12"/>
        <v>女</v>
      </c>
      <c r="D26" s="8" t="str">
        <f>"202301228618"</f>
        <v>202301228618</v>
      </c>
      <c r="E26" s="9" t="str">
        <f t="shared" si="13"/>
        <v>07</v>
      </c>
      <c r="F26" s="8" t="s">
        <v>18</v>
      </c>
      <c r="G26" s="8" t="s">
        <v>12</v>
      </c>
      <c r="H26" s="8" t="str">
        <f t="shared" si="14"/>
        <v>86</v>
      </c>
      <c r="I26" s="8" t="str">
        <f>"18"</f>
        <v>18</v>
      </c>
      <c r="J26" s="8">
        <v>62.5</v>
      </c>
      <c r="K26" s="8"/>
    </row>
    <row r="27" spans="1:11" s="5" customFormat="1" ht="14.25" customHeight="1">
      <c r="A27" s="8">
        <v>25</v>
      </c>
      <c r="B27" s="9" t="str">
        <f>"张婧芳"</f>
        <v>张婧芳</v>
      </c>
      <c r="C27" s="9" t="str">
        <f t="shared" ref="C27:C34" si="15">"女"</f>
        <v>女</v>
      </c>
      <c r="D27" s="9" t="str">
        <f>"202301220133"</f>
        <v>202301220133</v>
      </c>
      <c r="E27" s="8" t="str">
        <f t="shared" ref="E27:E34" si="16">"08"</f>
        <v>08</v>
      </c>
      <c r="F27" s="9" t="s">
        <v>11</v>
      </c>
      <c r="G27" s="9" t="s">
        <v>19</v>
      </c>
      <c r="H27" s="9" t="str">
        <f>"01"</f>
        <v>01</v>
      </c>
      <c r="I27" s="9" t="str">
        <f>"33"</f>
        <v>33</v>
      </c>
      <c r="J27" s="9">
        <v>84.75</v>
      </c>
      <c r="K27" s="9"/>
    </row>
    <row r="28" spans="1:11" s="4" customFormat="1" ht="14.25" customHeight="1">
      <c r="A28" s="8">
        <v>26</v>
      </c>
      <c r="B28" s="8" t="str">
        <f>"吕婷"</f>
        <v>吕婷</v>
      </c>
      <c r="C28" s="8" t="str">
        <f t="shared" si="15"/>
        <v>女</v>
      </c>
      <c r="D28" s="8" t="str">
        <f>"202301220311"</f>
        <v>202301220311</v>
      </c>
      <c r="E28" s="8" t="str">
        <f t="shared" si="16"/>
        <v>08</v>
      </c>
      <c r="F28" s="8" t="s">
        <v>11</v>
      </c>
      <c r="G28" s="8" t="s">
        <v>19</v>
      </c>
      <c r="H28" s="8" t="str">
        <f>"03"</f>
        <v>03</v>
      </c>
      <c r="I28" s="8" t="str">
        <f>"11"</f>
        <v>11</v>
      </c>
      <c r="J28" s="8">
        <v>84.4</v>
      </c>
      <c r="K28" s="8"/>
    </row>
    <row r="29" spans="1:11" s="4" customFormat="1" ht="14.25" customHeight="1">
      <c r="A29" s="8">
        <v>27</v>
      </c>
      <c r="B29" s="8" t="str">
        <f>"何瑷琳"</f>
        <v>何瑷琳</v>
      </c>
      <c r="C29" s="8" t="str">
        <f t="shared" si="15"/>
        <v>女</v>
      </c>
      <c r="D29" s="8" t="str">
        <f>"202301220310"</f>
        <v>202301220310</v>
      </c>
      <c r="E29" s="8" t="str">
        <f t="shared" si="16"/>
        <v>08</v>
      </c>
      <c r="F29" s="8" t="s">
        <v>11</v>
      </c>
      <c r="G29" s="8" t="s">
        <v>19</v>
      </c>
      <c r="H29" s="8" t="str">
        <f>"03"</f>
        <v>03</v>
      </c>
      <c r="I29" s="8" t="str">
        <f>"10"</f>
        <v>10</v>
      </c>
      <c r="J29" s="8">
        <v>84.25</v>
      </c>
      <c r="K29" s="8"/>
    </row>
    <row r="30" spans="1:11" s="5" customFormat="1" ht="14.25" customHeight="1">
      <c r="A30" s="8">
        <v>28</v>
      </c>
      <c r="B30" s="8" t="str">
        <f>"李妮妮"</f>
        <v>李妮妮</v>
      </c>
      <c r="C30" s="8" t="str">
        <f t="shared" si="15"/>
        <v>女</v>
      </c>
      <c r="D30" s="8" t="str">
        <f>"202301220413"</f>
        <v>202301220413</v>
      </c>
      <c r="E30" s="8" t="str">
        <f t="shared" si="16"/>
        <v>08</v>
      </c>
      <c r="F30" s="8" t="s">
        <v>11</v>
      </c>
      <c r="G30" s="8" t="s">
        <v>19</v>
      </c>
      <c r="H30" s="8" t="str">
        <f>"04"</f>
        <v>04</v>
      </c>
      <c r="I30" s="8" t="str">
        <f>"13"</f>
        <v>13</v>
      </c>
      <c r="J30" s="8">
        <v>84.25</v>
      </c>
      <c r="K30" s="8"/>
    </row>
    <row r="31" spans="1:11" s="4" customFormat="1" ht="14.25" customHeight="1">
      <c r="A31" s="8">
        <v>29</v>
      </c>
      <c r="B31" s="8" t="str">
        <f>"欧婷凤"</f>
        <v>欧婷凤</v>
      </c>
      <c r="C31" s="8" t="str">
        <f t="shared" si="15"/>
        <v>女</v>
      </c>
      <c r="D31" s="8" t="str">
        <f>"202301220434"</f>
        <v>202301220434</v>
      </c>
      <c r="E31" s="8" t="str">
        <f t="shared" si="16"/>
        <v>08</v>
      </c>
      <c r="F31" s="8" t="s">
        <v>11</v>
      </c>
      <c r="G31" s="8" t="s">
        <v>19</v>
      </c>
      <c r="H31" s="8" t="str">
        <f>"04"</f>
        <v>04</v>
      </c>
      <c r="I31" s="8" t="str">
        <f>"34"</f>
        <v>34</v>
      </c>
      <c r="J31" s="8">
        <v>83.75</v>
      </c>
      <c r="K31" s="8"/>
    </row>
    <row r="32" spans="1:11" s="4" customFormat="1" ht="14.25" customHeight="1">
      <c r="A32" s="8">
        <v>30</v>
      </c>
      <c r="B32" s="8" t="str">
        <f>"伍玲玲"</f>
        <v>伍玲玲</v>
      </c>
      <c r="C32" s="8" t="str">
        <f t="shared" si="15"/>
        <v>女</v>
      </c>
      <c r="D32" s="8" t="str">
        <f>"202301220427"</f>
        <v>202301220427</v>
      </c>
      <c r="E32" s="8" t="str">
        <f t="shared" si="16"/>
        <v>08</v>
      </c>
      <c r="F32" s="8" t="s">
        <v>11</v>
      </c>
      <c r="G32" s="8" t="s">
        <v>19</v>
      </c>
      <c r="H32" s="8" t="str">
        <f>"04"</f>
        <v>04</v>
      </c>
      <c r="I32" s="8" t="str">
        <f>"27"</f>
        <v>27</v>
      </c>
      <c r="J32" s="8">
        <v>83.65</v>
      </c>
      <c r="K32" s="8"/>
    </row>
    <row r="33" spans="1:11" s="4" customFormat="1" ht="14.25" customHeight="1">
      <c r="A33" s="8">
        <v>31</v>
      </c>
      <c r="B33" s="8" t="str">
        <f>"李婷燕"</f>
        <v>李婷燕</v>
      </c>
      <c r="C33" s="8" t="str">
        <f t="shared" si="15"/>
        <v>女</v>
      </c>
      <c r="D33" s="8" t="str">
        <f>"202301220607"</f>
        <v>202301220607</v>
      </c>
      <c r="E33" s="8" t="str">
        <f t="shared" si="16"/>
        <v>08</v>
      </c>
      <c r="F33" s="8" t="s">
        <v>11</v>
      </c>
      <c r="G33" s="8" t="s">
        <v>19</v>
      </c>
      <c r="H33" s="8" t="str">
        <f>"06"</f>
        <v>06</v>
      </c>
      <c r="I33" s="8" t="str">
        <f>"07"</f>
        <v>07</v>
      </c>
      <c r="J33" s="8">
        <v>83.05</v>
      </c>
      <c r="K33" s="8"/>
    </row>
    <row r="34" spans="1:11" s="5" customFormat="1" ht="14.25" customHeight="1">
      <c r="A34" s="8">
        <v>32</v>
      </c>
      <c r="B34" s="9" t="str">
        <f>"李灵儿"</f>
        <v>李灵儿</v>
      </c>
      <c r="C34" s="9" t="str">
        <f t="shared" si="15"/>
        <v>女</v>
      </c>
      <c r="D34" s="9" t="str">
        <f>"202301220517"</f>
        <v>202301220517</v>
      </c>
      <c r="E34" s="8" t="str">
        <f t="shared" si="16"/>
        <v>08</v>
      </c>
      <c r="F34" s="9" t="s">
        <v>11</v>
      </c>
      <c r="G34" s="9" t="s">
        <v>19</v>
      </c>
      <c r="H34" s="9" t="str">
        <f>"05"</f>
        <v>05</v>
      </c>
      <c r="I34" s="9" t="str">
        <f>"17"</f>
        <v>17</v>
      </c>
      <c r="J34" s="9">
        <v>82.9</v>
      </c>
      <c r="K34" s="9"/>
    </row>
    <row r="35" spans="1:11" s="4" customFormat="1" ht="14.25" customHeight="1">
      <c r="A35" s="8">
        <v>33</v>
      </c>
      <c r="B35" s="8" t="str">
        <f>"蒋妍"</f>
        <v>蒋妍</v>
      </c>
      <c r="C35" s="8" t="str">
        <f>"女"</f>
        <v>女</v>
      </c>
      <c r="D35" s="8" t="str">
        <f>"202301220616"</f>
        <v>202301220616</v>
      </c>
      <c r="E35" s="8" t="str">
        <f t="shared" ref="E35:E42" si="17">"09"</f>
        <v>09</v>
      </c>
      <c r="F35" s="8" t="s">
        <v>13</v>
      </c>
      <c r="G35" s="8" t="s">
        <v>19</v>
      </c>
      <c r="H35" s="8" t="str">
        <f>"06"</f>
        <v>06</v>
      </c>
      <c r="I35" s="8" t="str">
        <f>"16"</f>
        <v>16</v>
      </c>
      <c r="J35" s="8">
        <v>88</v>
      </c>
      <c r="K35" s="8"/>
    </row>
    <row r="36" spans="1:11" s="4" customFormat="1" ht="14.25" customHeight="1">
      <c r="A36" s="8">
        <v>34</v>
      </c>
      <c r="B36" s="8" t="str">
        <f>"卢钱"</f>
        <v>卢钱</v>
      </c>
      <c r="C36" s="8" t="str">
        <f>"男"</f>
        <v>男</v>
      </c>
      <c r="D36" s="8" t="str">
        <f>"202301220933"</f>
        <v>202301220933</v>
      </c>
      <c r="E36" s="8" t="str">
        <f t="shared" si="17"/>
        <v>09</v>
      </c>
      <c r="F36" s="8" t="s">
        <v>13</v>
      </c>
      <c r="G36" s="8" t="s">
        <v>19</v>
      </c>
      <c r="H36" s="8" t="str">
        <f>"09"</f>
        <v>09</v>
      </c>
      <c r="I36" s="8" t="str">
        <f>"33"</f>
        <v>33</v>
      </c>
      <c r="J36" s="8">
        <v>87.7</v>
      </c>
      <c r="K36" s="8"/>
    </row>
    <row r="37" spans="1:11" s="5" customFormat="1" ht="14.25" customHeight="1">
      <c r="A37" s="8">
        <v>35</v>
      </c>
      <c r="B37" s="9" t="str">
        <f>"唐文静"</f>
        <v>唐文静</v>
      </c>
      <c r="C37" s="9" t="str">
        <f>"女"</f>
        <v>女</v>
      </c>
      <c r="D37" s="9" t="str">
        <f>"202301220934"</f>
        <v>202301220934</v>
      </c>
      <c r="E37" s="8" t="str">
        <f t="shared" si="17"/>
        <v>09</v>
      </c>
      <c r="F37" s="9" t="s">
        <v>13</v>
      </c>
      <c r="G37" s="9" t="s">
        <v>19</v>
      </c>
      <c r="H37" s="9" t="str">
        <f>"09"</f>
        <v>09</v>
      </c>
      <c r="I37" s="9" t="str">
        <f>"34"</f>
        <v>34</v>
      </c>
      <c r="J37" s="9">
        <v>86.2</v>
      </c>
      <c r="K37" s="9"/>
    </row>
    <row r="38" spans="1:11" s="5" customFormat="1" ht="14.25" customHeight="1">
      <c r="A38" s="8">
        <v>36</v>
      </c>
      <c r="B38" s="8" t="str">
        <f>"于志芳"</f>
        <v>于志芳</v>
      </c>
      <c r="C38" s="8" t="str">
        <f>"女"</f>
        <v>女</v>
      </c>
      <c r="D38" s="8" t="str">
        <f>"202301220709"</f>
        <v>202301220709</v>
      </c>
      <c r="E38" s="8" t="str">
        <f t="shared" si="17"/>
        <v>09</v>
      </c>
      <c r="F38" s="8" t="s">
        <v>13</v>
      </c>
      <c r="G38" s="8" t="s">
        <v>19</v>
      </c>
      <c r="H38" s="8" t="str">
        <f>"07"</f>
        <v>07</v>
      </c>
      <c r="I38" s="8" t="str">
        <f>"09"</f>
        <v>09</v>
      </c>
      <c r="J38" s="8">
        <v>85.45</v>
      </c>
      <c r="K38" s="8"/>
    </row>
    <row r="39" spans="1:11" s="4" customFormat="1" ht="14.25" customHeight="1">
      <c r="A39" s="8">
        <v>37</v>
      </c>
      <c r="B39" s="8" t="str">
        <f>"彭唐妮"</f>
        <v>彭唐妮</v>
      </c>
      <c r="C39" s="8" t="str">
        <f>"女"</f>
        <v>女</v>
      </c>
      <c r="D39" s="8" t="str">
        <f>"202301220922"</f>
        <v>202301220922</v>
      </c>
      <c r="E39" s="8" t="str">
        <f t="shared" si="17"/>
        <v>09</v>
      </c>
      <c r="F39" s="8" t="s">
        <v>13</v>
      </c>
      <c r="G39" s="8" t="s">
        <v>19</v>
      </c>
      <c r="H39" s="8" t="str">
        <f>"09"</f>
        <v>09</v>
      </c>
      <c r="I39" s="8" t="str">
        <f>"22"</f>
        <v>22</v>
      </c>
      <c r="J39" s="8">
        <v>82.95</v>
      </c>
      <c r="K39" s="8"/>
    </row>
    <row r="40" spans="1:11" s="4" customFormat="1" ht="14.25" customHeight="1">
      <c r="A40" s="8">
        <v>38</v>
      </c>
      <c r="B40" s="8" t="str">
        <f>"涂雅卓"</f>
        <v>涂雅卓</v>
      </c>
      <c r="C40" s="8" t="str">
        <f>"女"</f>
        <v>女</v>
      </c>
      <c r="D40" s="8" t="str">
        <f>"202301220815"</f>
        <v>202301220815</v>
      </c>
      <c r="E40" s="8" t="str">
        <f t="shared" si="17"/>
        <v>09</v>
      </c>
      <c r="F40" s="8" t="s">
        <v>13</v>
      </c>
      <c r="G40" s="8" t="s">
        <v>19</v>
      </c>
      <c r="H40" s="8" t="str">
        <f>"08"</f>
        <v>08</v>
      </c>
      <c r="I40" s="8" t="str">
        <f>"15"</f>
        <v>15</v>
      </c>
      <c r="J40" s="8">
        <v>81.45</v>
      </c>
      <c r="K40" s="8"/>
    </row>
    <row r="41" spans="1:11" s="5" customFormat="1" ht="14.25" customHeight="1">
      <c r="A41" s="8">
        <v>39</v>
      </c>
      <c r="B41" s="8" t="str">
        <f>"邓矅洋"</f>
        <v>邓矅洋</v>
      </c>
      <c r="C41" s="8" t="str">
        <f>"男"</f>
        <v>男</v>
      </c>
      <c r="D41" s="8" t="str">
        <f>"202301220721"</f>
        <v>202301220721</v>
      </c>
      <c r="E41" s="8" t="str">
        <f t="shared" si="17"/>
        <v>09</v>
      </c>
      <c r="F41" s="8" t="s">
        <v>13</v>
      </c>
      <c r="G41" s="8" t="s">
        <v>19</v>
      </c>
      <c r="H41" s="8" t="str">
        <f>"07"</f>
        <v>07</v>
      </c>
      <c r="I41" s="8" t="str">
        <f>"21"</f>
        <v>21</v>
      </c>
      <c r="J41" s="8">
        <v>79.95</v>
      </c>
      <c r="K41" s="8"/>
    </row>
    <row r="42" spans="1:11" s="5" customFormat="1" ht="14.25" customHeight="1">
      <c r="A42" s="8">
        <v>40</v>
      </c>
      <c r="B42" s="8" t="str">
        <f>"周紫艳"</f>
        <v>周紫艳</v>
      </c>
      <c r="C42" s="8" t="str">
        <f>"女"</f>
        <v>女</v>
      </c>
      <c r="D42" s="8" t="str">
        <f>"202301220929"</f>
        <v>202301220929</v>
      </c>
      <c r="E42" s="8" t="str">
        <f t="shared" si="17"/>
        <v>09</v>
      </c>
      <c r="F42" s="8" t="s">
        <v>13</v>
      </c>
      <c r="G42" s="8" t="s">
        <v>19</v>
      </c>
      <c r="H42" s="8" t="str">
        <f>"09"</f>
        <v>09</v>
      </c>
      <c r="I42" s="8" t="str">
        <f>"29"</f>
        <v>29</v>
      </c>
      <c r="J42" s="8">
        <v>78.900000000000006</v>
      </c>
      <c r="K42" s="8"/>
    </row>
    <row r="43" spans="1:11" s="4" customFormat="1" ht="14.25" customHeight="1">
      <c r="A43" s="8">
        <v>41</v>
      </c>
      <c r="B43" s="8" t="str">
        <f>"朱怡"</f>
        <v>朱怡</v>
      </c>
      <c r="C43" s="8" t="str">
        <f t="shared" ref="C43:C50" si="18">"女"</f>
        <v>女</v>
      </c>
      <c r="D43" s="8" t="str">
        <f>"202301221608"</f>
        <v>202301221608</v>
      </c>
      <c r="E43" s="8" t="str">
        <f t="shared" ref="E43:E50" si="19">"10"</f>
        <v>10</v>
      </c>
      <c r="F43" s="8" t="s">
        <v>14</v>
      </c>
      <c r="G43" s="8" t="s">
        <v>19</v>
      </c>
      <c r="H43" s="8" t="str">
        <f>"16"</f>
        <v>16</v>
      </c>
      <c r="I43" s="8" t="str">
        <f>"08"</f>
        <v>08</v>
      </c>
      <c r="J43" s="8">
        <v>87.95</v>
      </c>
      <c r="K43" s="8"/>
    </row>
    <row r="44" spans="1:11" s="4" customFormat="1" ht="14.25" customHeight="1">
      <c r="A44" s="8">
        <v>42</v>
      </c>
      <c r="B44" s="8" t="str">
        <f>"唐妍"</f>
        <v>唐妍</v>
      </c>
      <c r="C44" s="8" t="str">
        <f t="shared" si="18"/>
        <v>女</v>
      </c>
      <c r="D44" s="8" t="str">
        <f>"202301222134"</f>
        <v>202301222134</v>
      </c>
      <c r="E44" s="8" t="str">
        <f t="shared" si="19"/>
        <v>10</v>
      </c>
      <c r="F44" s="8" t="s">
        <v>14</v>
      </c>
      <c r="G44" s="8" t="s">
        <v>19</v>
      </c>
      <c r="H44" s="8" t="str">
        <f>"21"</f>
        <v>21</v>
      </c>
      <c r="I44" s="8" t="str">
        <f>"34"</f>
        <v>34</v>
      </c>
      <c r="J44" s="8">
        <v>87</v>
      </c>
      <c r="K44" s="8"/>
    </row>
    <row r="45" spans="1:11" s="5" customFormat="1" ht="14.25" customHeight="1">
      <c r="A45" s="8">
        <v>43</v>
      </c>
      <c r="B45" s="8" t="str">
        <f>"卿思庭"</f>
        <v>卿思庭</v>
      </c>
      <c r="C45" s="8" t="str">
        <f t="shared" si="18"/>
        <v>女</v>
      </c>
      <c r="D45" s="8" t="str">
        <f>"202301221803"</f>
        <v>202301221803</v>
      </c>
      <c r="E45" s="8" t="str">
        <f t="shared" si="19"/>
        <v>10</v>
      </c>
      <c r="F45" s="8" t="s">
        <v>14</v>
      </c>
      <c r="G45" s="8" t="s">
        <v>19</v>
      </c>
      <c r="H45" s="8" t="str">
        <f>"18"</f>
        <v>18</v>
      </c>
      <c r="I45" s="8" t="str">
        <f>"03"</f>
        <v>03</v>
      </c>
      <c r="J45" s="8">
        <v>86.05</v>
      </c>
      <c r="K45" s="8"/>
    </row>
    <row r="46" spans="1:11" s="5" customFormat="1" ht="14.25" customHeight="1">
      <c r="A46" s="8">
        <v>44</v>
      </c>
      <c r="B46" s="8" t="str">
        <f>"唐小丽"</f>
        <v>唐小丽</v>
      </c>
      <c r="C46" s="8" t="str">
        <f t="shared" si="18"/>
        <v>女</v>
      </c>
      <c r="D46" s="8" t="str">
        <f>"202301221513"</f>
        <v>202301221513</v>
      </c>
      <c r="E46" s="8" t="str">
        <f t="shared" si="19"/>
        <v>10</v>
      </c>
      <c r="F46" s="8" t="s">
        <v>14</v>
      </c>
      <c r="G46" s="8" t="s">
        <v>19</v>
      </c>
      <c r="H46" s="8" t="str">
        <f>"15"</f>
        <v>15</v>
      </c>
      <c r="I46" s="8" t="str">
        <f>"13"</f>
        <v>13</v>
      </c>
      <c r="J46" s="8">
        <v>85.55</v>
      </c>
      <c r="K46" s="8"/>
    </row>
    <row r="47" spans="1:11" s="4" customFormat="1" ht="14.25" customHeight="1">
      <c r="A47" s="8">
        <v>45</v>
      </c>
      <c r="B47" s="8" t="str">
        <f>"邱佳夷"</f>
        <v>邱佳夷</v>
      </c>
      <c r="C47" s="8" t="str">
        <f t="shared" si="18"/>
        <v>女</v>
      </c>
      <c r="D47" s="8" t="str">
        <f>"202301221126"</f>
        <v>202301221126</v>
      </c>
      <c r="E47" s="8" t="str">
        <f t="shared" si="19"/>
        <v>10</v>
      </c>
      <c r="F47" s="8" t="s">
        <v>14</v>
      </c>
      <c r="G47" s="8" t="s">
        <v>19</v>
      </c>
      <c r="H47" s="8" t="str">
        <f>"11"</f>
        <v>11</v>
      </c>
      <c r="I47" s="8" t="str">
        <f>"26"</f>
        <v>26</v>
      </c>
      <c r="J47" s="8">
        <v>85.4</v>
      </c>
      <c r="K47" s="8"/>
    </row>
    <row r="48" spans="1:11" s="5" customFormat="1" ht="14.25" customHeight="1">
      <c r="A48" s="8">
        <v>46</v>
      </c>
      <c r="B48" s="9" t="str">
        <f>"刘嘉"</f>
        <v>刘嘉</v>
      </c>
      <c r="C48" s="9" t="str">
        <f t="shared" si="18"/>
        <v>女</v>
      </c>
      <c r="D48" s="9" t="str">
        <f>"202301221231"</f>
        <v>202301221231</v>
      </c>
      <c r="E48" s="9" t="str">
        <f t="shared" si="19"/>
        <v>10</v>
      </c>
      <c r="F48" s="9" t="s">
        <v>14</v>
      </c>
      <c r="G48" s="9" t="s">
        <v>19</v>
      </c>
      <c r="H48" s="9" t="str">
        <f>"12"</f>
        <v>12</v>
      </c>
      <c r="I48" s="9" t="str">
        <f>"31"</f>
        <v>31</v>
      </c>
      <c r="J48" s="9">
        <v>85.35</v>
      </c>
      <c r="K48" s="9"/>
    </row>
    <row r="49" spans="1:11" s="4" customFormat="1" ht="14.25" customHeight="1">
      <c r="A49" s="8">
        <v>47</v>
      </c>
      <c r="B49" s="8" t="str">
        <f>"李君洁"</f>
        <v>李君洁</v>
      </c>
      <c r="C49" s="8" t="str">
        <f t="shared" si="18"/>
        <v>女</v>
      </c>
      <c r="D49" s="8" t="str">
        <f>"202301221918"</f>
        <v>202301221918</v>
      </c>
      <c r="E49" s="8" t="str">
        <f t="shared" si="19"/>
        <v>10</v>
      </c>
      <c r="F49" s="8" t="s">
        <v>14</v>
      </c>
      <c r="G49" s="8" t="s">
        <v>19</v>
      </c>
      <c r="H49" s="8" t="str">
        <f>"19"</f>
        <v>19</v>
      </c>
      <c r="I49" s="8" t="str">
        <f>"18"</f>
        <v>18</v>
      </c>
      <c r="J49" s="8">
        <v>85.25</v>
      </c>
      <c r="K49" s="8"/>
    </row>
    <row r="50" spans="1:11" s="4" customFormat="1" ht="14.25" customHeight="1">
      <c r="A50" s="8">
        <v>48</v>
      </c>
      <c r="B50" s="8" t="str">
        <f>"陈婧"</f>
        <v>陈婧</v>
      </c>
      <c r="C50" s="8" t="str">
        <f t="shared" si="18"/>
        <v>女</v>
      </c>
      <c r="D50" s="8" t="str">
        <f>"202301222201"</f>
        <v>202301222201</v>
      </c>
      <c r="E50" s="8" t="str">
        <f t="shared" si="19"/>
        <v>10</v>
      </c>
      <c r="F50" s="8" t="s">
        <v>14</v>
      </c>
      <c r="G50" s="8" t="s">
        <v>19</v>
      </c>
      <c r="H50" s="8" t="str">
        <f>"22"</f>
        <v>22</v>
      </c>
      <c r="I50" s="8" t="str">
        <f>"01"</f>
        <v>01</v>
      </c>
      <c r="J50" s="8">
        <v>85.25</v>
      </c>
      <c r="K50" s="8"/>
    </row>
    <row r="51" spans="1:11" s="5" customFormat="1" ht="14.25" customHeight="1">
      <c r="A51" s="8">
        <v>49</v>
      </c>
      <c r="B51" s="8" t="str">
        <f>"赵欢"</f>
        <v>赵欢</v>
      </c>
      <c r="C51" s="8" t="str">
        <f t="shared" ref="C51:C54" si="20">"女"</f>
        <v>女</v>
      </c>
      <c r="D51" s="8" t="str">
        <f>"202301224933"</f>
        <v>202301224933</v>
      </c>
      <c r="E51" s="8" t="str">
        <f t="shared" ref="E51:E54" si="21">"11"</f>
        <v>11</v>
      </c>
      <c r="F51" s="8" t="s">
        <v>15</v>
      </c>
      <c r="G51" s="8" t="s">
        <v>19</v>
      </c>
      <c r="H51" s="8" t="str">
        <f t="shared" ref="H51:H54" si="22">"49"</f>
        <v>49</v>
      </c>
      <c r="I51" s="8" t="str">
        <f>"33"</f>
        <v>33</v>
      </c>
      <c r="J51" s="8">
        <v>83.2</v>
      </c>
      <c r="K51" s="8"/>
    </row>
    <row r="52" spans="1:11" s="4" customFormat="1" ht="14.25" customHeight="1">
      <c r="A52" s="8">
        <v>50</v>
      </c>
      <c r="B52" s="8" t="str">
        <f>"李靓婧"</f>
        <v>李靓婧</v>
      </c>
      <c r="C52" s="8" t="str">
        <f t="shared" si="20"/>
        <v>女</v>
      </c>
      <c r="D52" s="8" t="str">
        <f>"202301224925"</f>
        <v>202301224925</v>
      </c>
      <c r="E52" s="8" t="str">
        <f t="shared" si="21"/>
        <v>11</v>
      </c>
      <c r="F52" s="8" t="s">
        <v>15</v>
      </c>
      <c r="G52" s="8" t="s">
        <v>19</v>
      </c>
      <c r="H52" s="8" t="str">
        <f t="shared" si="22"/>
        <v>49</v>
      </c>
      <c r="I52" s="8" t="str">
        <f>"25"</f>
        <v>25</v>
      </c>
      <c r="J52" s="8">
        <v>81</v>
      </c>
      <c r="K52" s="8"/>
    </row>
    <row r="53" spans="1:11" s="4" customFormat="1" ht="14.25" customHeight="1">
      <c r="A53" s="8">
        <v>51</v>
      </c>
      <c r="B53" s="8" t="str">
        <f>"蒋欣"</f>
        <v>蒋欣</v>
      </c>
      <c r="C53" s="8" t="str">
        <f t="shared" si="20"/>
        <v>女</v>
      </c>
      <c r="D53" s="8" t="str">
        <f>"202301224932"</f>
        <v>202301224932</v>
      </c>
      <c r="E53" s="8" t="str">
        <f t="shared" si="21"/>
        <v>11</v>
      </c>
      <c r="F53" s="8" t="s">
        <v>15</v>
      </c>
      <c r="G53" s="8" t="s">
        <v>19</v>
      </c>
      <c r="H53" s="8" t="str">
        <f t="shared" si="22"/>
        <v>49</v>
      </c>
      <c r="I53" s="8" t="str">
        <f>"32"</f>
        <v>32</v>
      </c>
      <c r="J53" s="8">
        <v>80.900000000000006</v>
      </c>
      <c r="K53" s="8"/>
    </row>
    <row r="54" spans="1:11" s="4" customFormat="1" ht="14.25" customHeight="1">
      <c r="A54" s="8">
        <v>52</v>
      </c>
      <c r="B54" s="9" t="str">
        <f>"唐萍"</f>
        <v>唐萍</v>
      </c>
      <c r="C54" s="9" t="str">
        <f t="shared" si="20"/>
        <v>女</v>
      </c>
      <c r="D54" s="9" t="str">
        <f>"202301224928"</f>
        <v>202301224928</v>
      </c>
      <c r="E54" s="9" t="str">
        <f t="shared" si="21"/>
        <v>11</v>
      </c>
      <c r="F54" s="9" t="s">
        <v>15</v>
      </c>
      <c r="G54" s="9" t="s">
        <v>19</v>
      </c>
      <c r="H54" s="9" t="str">
        <f t="shared" si="22"/>
        <v>49</v>
      </c>
      <c r="I54" s="9" t="str">
        <f>"28"</f>
        <v>28</v>
      </c>
      <c r="J54" s="9">
        <v>80.7</v>
      </c>
      <c r="K54" s="9"/>
    </row>
    <row r="55" spans="1:11" s="4" customFormat="1" ht="14.25" customHeight="1">
      <c r="A55" s="8">
        <v>53</v>
      </c>
      <c r="B55" s="8" t="str">
        <f>"刘依萍"</f>
        <v>刘依萍</v>
      </c>
      <c r="C55" s="8" t="str">
        <f t="shared" ref="C55" si="23">"女"</f>
        <v>女</v>
      </c>
      <c r="D55" s="8" t="str">
        <f>"202301224132"</f>
        <v>202301224132</v>
      </c>
      <c r="E55" s="8" t="str">
        <f t="shared" ref="E55" si="24">"12"</f>
        <v>12</v>
      </c>
      <c r="F55" s="8" t="s">
        <v>20</v>
      </c>
      <c r="G55" s="8" t="s">
        <v>19</v>
      </c>
      <c r="H55" s="8" t="str">
        <f t="shared" ref="H55" si="25">"41"</f>
        <v>41</v>
      </c>
      <c r="I55" s="8" t="str">
        <f>"32"</f>
        <v>32</v>
      </c>
      <c r="J55" s="8">
        <v>72.55</v>
      </c>
      <c r="K55" s="8"/>
    </row>
    <row r="56" spans="1:11" s="4" customFormat="1" ht="14.25" customHeight="1">
      <c r="A56" s="8">
        <v>54</v>
      </c>
      <c r="B56" s="8" t="str">
        <f>"刘永红"</f>
        <v>刘永红</v>
      </c>
      <c r="C56" s="8" t="str">
        <f>"女"</f>
        <v>女</v>
      </c>
      <c r="D56" s="8" t="str">
        <f>"202301224029"</f>
        <v>202301224029</v>
      </c>
      <c r="E56" s="8" t="str">
        <f t="shared" ref="E56:E59" si="26">"13"</f>
        <v>13</v>
      </c>
      <c r="F56" s="8" t="s">
        <v>16</v>
      </c>
      <c r="G56" s="8" t="s">
        <v>19</v>
      </c>
      <c r="H56" s="8" t="str">
        <f t="shared" ref="H56:H59" si="27">"40"</f>
        <v>40</v>
      </c>
      <c r="I56" s="8" t="str">
        <f>"29"</f>
        <v>29</v>
      </c>
      <c r="J56" s="8">
        <v>83.7</v>
      </c>
      <c r="K56" s="8"/>
    </row>
    <row r="57" spans="1:11" s="4" customFormat="1" ht="14.25" customHeight="1">
      <c r="A57" s="8">
        <v>55</v>
      </c>
      <c r="B57" s="8" t="str">
        <f>"周富洁"</f>
        <v>周富洁</v>
      </c>
      <c r="C57" s="8" t="str">
        <f>"女"</f>
        <v>女</v>
      </c>
      <c r="D57" s="8" t="str">
        <f>"202301224024"</f>
        <v>202301224024</v>
      </c>
      <c r="E57" s="8" t="str">
        <f t="shared" si="26"/>
        <v>13</v>
      </c>
      <c r="F57" s="8" t="s">
        <v>16</v>
      </c>
      <c r="G57" s="8" t="s">
        <v>19</v>
      </c>
      <c r="H57" s="8" t="str">
        <f t="shared" si="27"/>
        <v>40</v>
      </c>
      <c r="I57" s="8" t="str">
        <f>"24"</f>
        <v>24</v>
      </c>
      <c r="J57" s="8">
        <v>83.2</v>
      </c>
      <c r="K57" s="8"/>
    </row>
    <row r="58" spans="1:11" s="4" customFormat="1" ht="14.25" customHeight="1">
      <c r="A58" s="8">
        <v>56</v>
      </c>
      <c r="B58" s="8" t="str">
        <f>"荣顾芳"</f>
        <v>荣顾芳</v>
      </c>
      <c r="C58" s="8" t="str">
        <f>"女"</f>
        <v>女</v>
      </c>
      <c r="D58" s="8" t="str">
        <f>"202301224027"</f>
        <v>202301224027</v>
      </c>
      <c r="E58" s="8" t="str">
        <f t="shared" si="26"/>
        <v>13</v>
      </c>
      <c r="F58" s="8" t="s">
        <v>16</v>
      </c>
      <c r="G58" s="8" t="s">
        <v>19</v>
      </c>
      <c r="H58" s="8" t="str">
        <f t="shared" si="27"/>
        <v>40</v>
      </c>
      <c r="I58" s="8" t="str">
        <f>"27"</f>
        <v>27</v>
      </c>
      <c r="J58" s="8">
        <v>81.849999999999994</v>
      </c>
      <c r="K58" s="8"/>
    </row>
    <row r="59" spans="1:11" s="4" customFormat="1" ht="14.25" customHeight="1">
      <c r="A59" s="8">
        <v>57</v>
      </c>
      <c r="B59" s="8" t="str">
        <f>"彭毅"</f>
        <v>彭毅</v>
      </c>
      <c r="C59" s="8" t="str">
        <f>"男"</f>
        <v>男</v>
      </c>
      <c r="D59" s="8" t="str">
        <f>"202301224030"</f>
        <v>202301224030</v>
      </c>
      <c r="E59" s="8" t="str">
        <f t="shared" si="26"/>
        <v>13</v>
      </c>
      <c r="F59" s="8" t="s">
        <v>16</v>
      </c>
      <c r="G59" s="8" t="s">
        <v>19</v>
      </c>
      <c r="H59" s="8" t="str">
        <f t="shared" si="27"/>
        <v>40</v>
      </c>
      <c r="I59" s="8" t="str">
        <f>"30"</f>
        <v>30</v>
      </c>
      <c r="J59" s="8">
        <v>81.400000000000006</v>
      </c>
      <c r="K59" s="8"/>
    </row>
    <row r="60" spans="1:11" s="5" customFormat="1" ht="14.25" customHeight="1">
      <c r="A60" s="8">
        <v>58</v>
      </c>
      <c r="B60" s="8" t="str">
        <f>"胡波"</f>
        <v>胡波</v>
      </c>
      <c r="C60" s="8" t="str">
        <f>"男"</f>
        <v>男</v>
      </c>
      <c r="D60" s="8" t="str">
        <f>"202301224920"</f>
        <v>202301224920</v>
      </c>
      <c r="E60" s="8" t="str">
        <f t="shared" ref="E60:E67" si="28">"14"</f>
        <v>14</v>
      </c>
      <c r="F60" s="8" t="s">
        <v>17</v>
      </c>
      <c r="G60" s="8" t="s">
        <v>19</v>
      </c>
      <c r="H60" s="8" t="str">
        <f t="shared" ref="H60:H67" si="29">"49"</f>
        <v>49</v>
      </c>
      <c r="I60" s="8" t="str">
        <f>"20"</f>
        <v>20</v>
      </c>
      <c r="J60" s="8">
        <v>88.25</v>
      </c>
      <c r="K60" s="8"/>
    </row>
    <row r="61" spans="1:11" s="4" customFormat="1" ht="14.25" customHeight="1">
      <c r="A61" s="8">
        <v>59</v>
      </c>
      <c r="B61" s="8" t="str">
        <f>"吴秀青"</f>
        <v>吴秀青</v>
      </c>
      <c r="C61" s="8" t="str">
        <f>"女"</f>
        <v>女</v>
      </c>
      <c r="D61" s="8" t="str">
        <f>"202301224911"</f>
        <v>202301224911</v>
      </c>
      <c r="E61" s="8" t="str">
        <f t="shared" si="28"/>
        <v>14</v>
      </c>
      <c r="F61" s="8" t="s">
        <v>17</v>
      </c>
      <c r="G61" s="8" t="s">
        <v>19</v>
      </c>
      <c r="H61" s="8" t="str">
        <f t="shared" si="29"/>
        <v>49</v>
      </c>
      <c r="I61" s="8" t="str">
        <f>"11"</f>
        <v>11</v>
      </c>
      <c r="J61" s="8">
        <v>82.1</v>
      </c>
      <c r="K61" s="8"/>
    </row>
    <row r="62" spans="1:11" s="4" customFormat="1" ht="14.25" customHeight="1">
      <c r="A62" s="8">
        <v>60</v>
      </c>
      <c r="B62" s="9" t="str">
        <f>"马继良"</f>
        <v>马继良</v>
      </c>
      <c r="C62" s="9" t="str">
        <f>"男"</f>
        <v>男</v>
      </c>
      <c r="D62" s="9" t="str">
        <f>"202301224908"</f>
        <v>202301224908</v>
      </c>
      <c r="E62" s="9" t="str">
        <f t="shared" si="28"/>
        <v>14</v>
      </c>
      <c r="F62" s="9" t="s">
        <v>17</v>
      </c>
      <c r="G62" s="9" t="s">
        <v>19</v>
      </c>
      <c r="H62" s="9" t="str">
        <f t="shared" si="29"/>
        <v>49</v>
      </c>
      <c r="I62" s="9" t="str">
        <f>"08"</f>
        <v>08</v>
      </c>
      <c r="J62" s="9">
        <v>74.599999999999994</v>
      </c>
      <c r="K62" s="9"/>
    </row>
    <row r="63" spans="1:11" s="4" customFormat="1" ht="14.25" customHeight="1">
      <c r="A63" s="8">
        <v>61</v>
      </c>
      <c r="B63" s="9" t="str">
        <f>"邓晴"</f>
        <v>邓晴</v>
      </c>
      <c r="C63" s="9" t="str">
        <f>"女"</f>
        <v>女</v>
      </c>
      <c r="D63" s="9" t="str">
        <f>"202301224915"</f>
        <v>202301224915</v>
      </c>
      <c r="E63" s="9" t="str">
        <f t="shared" si="28"/>
        <v>14</v>
      </c>
      <c r="F63" s="9" t="s">
        <v>17</v>
      </c>
      <c r="G63" s="9" t="s">
        <v>19</v>
      </c>
      <c r="H63" s="9" t="str">
        <f t="shared" si="29"/>
        <v>49</v>
      </c>
      <c r="I63" s="9" t="str">
        <f>"15"</f>
        <v>15</v>
      </c>
      <c r="J63" s="9">
        <v>70.400000000000006</v>
      </c>
      <c r="K63" s="9"/>
    </row>
    <row r="64" spans="1:11" s="4" customFormat="1" ht="14.25" customHeight="1">
      <c r="A64" s="8">
        <v>62</v>
      </c>
      <c r="B64" s="8" t="str">
        <f>"匡泉瑾"</f>
        <v>匡泉瑾</v>
      </c>
      <c r="C64" s="8" t="str">
        <f>"女"</f>
        <v>女</v>
      </c>
      <c r="D64" s="8" t="str">
        <f>"202301224909"</f>
        <v>202301224909</v>
      </c>
      <c r="E64" s="8" t="str">
        <f t="shared" si="28"/>
        <v>14</v>
      </c>
      <c r="F64" s="8" t="s">
        <v>17</v>
      </c>
      <c r="G64" s="8" t="s">
        <v>19</v>
      </c>
      <c r="H64" s="8" t="str">
        <f t="shared" si="29"/>
        <v>49</v>
      </c>
      <c r="I64" s="8" t="str">
        <f>"09"</f>
        <v>09</v>
      </c>
      <c r="J64" s="8">
        <v>67.599999999999994</v>
      </c>
      <c r="K64" s="8"/>
    </row>
    <row r="65" spans="1:11" s="5" customFormat="1" ht="14.25" customHeight="1">
      <c r="A65" s="8">
        <v>63</v>
      </c>
      <c r="B65" s="8" t="str">
        <f>"周爱香"</f>
        <v>周爱香</v>
      </c>
      <c r="C65" s="8" t="str">
        <f>"女"</f>
        <v>女</v>
      </c>
      <c r="D65" s="8" t="str">
        <f>"202301224912"</f>
        <v>202301224912</v>
      </c>
      <c r="E65" s="8" t="str">
        <f t="shared" si="28"/>
        <v>14</v>
      </c>
      <c r="F65" s="8" t="s">
        <v>17</v>
      </c>
      <c r="G65" s="8" t="s">
        <v>19</v>
      </c>
      <c r="H65" s="8" t="str">
        <f t="shared" si="29"/>
        <v>49</v>
      </c>
      <c r="I65" s="8" t="str">
        <f>"12"</f>
        <v>12</v>
      </c>
      <c r="J65" s="8">
        <v>66.05</v>
      </c>
      <c r="K65" s="8"/>
    </row>
    <row r="66" spans="1:11" s="5" customFormat="1" ht="14.25" customHeight="1">
      <c r="A66" s="8">
        <v>64</v>
      </c>
      <c r="B66" s="8" t="str">
        <f>"黄欣然"</f>
        <v>黄欣然</v>
      </c>
      <c r="C66" s="8" t="str">
        <f>"女"</f>
        <v>女</v>
      </c>
      <c r="D66" s="8" t="str">
        <f>"202301224904"</f>
        <v>202301224904</v>
      </c>
      <c r="E66" s="8" t="str">
        <f t="shared" si="28"/>
        <v>14</v>
      </c>
      <c r="F66" s="8" t="s">
        <v>17</v>
      </c>
      <c r="G66" s="8" t="s">
        <v>19</v>
      </c>
      <c r="H66" s="8" t="str">
        <f t="shared" si="29"/>
        <v>49</v>
      </c>
      <c r="I66" s="8" t="str">
        <f>"04"</f>
        <v>04</v>
      </c>
      <c r="J66" s="8">
        <v>63.25</v>
      </c>
      <c r="K66" s="8"/>
    </row>
    <row r="67" spans="1:11" s="4" customFormat="1" ht="14.25" customHeight="1">
      <c r="A67" s="8">
        <v>65</v>
      </c>
      <c r="B67" s="8" t="str">
        <f>"唐滔"</f>
        <v>唐滔</v>
      </c>
      <c r="C67" s="8" t="str">
        <f>"男"</f>
        <v>男</v>
      </c>
      <c r="D67" s="8" t="str">
        <f>"202301224910"</f>
        <v>202301224910</v>
      </c>
      <c r="E67" s="8" t="str">
        <f t="shared" si="28"/>
        <v>14</v>
      </c>
      <c r="F67" s="8" t="s">
        <v>17</v>
      </c>
      <c r="G67" s="8" t="s">
        <v>19</v>
      </c>
      <c r="H67" s="8" t="str">
        <f t="shared" si="29"/>
        <v>49</v>
      </c>
      <c r="I67" s="8" t="str">
        <f>"10"</f>
        <v>10</v>
      </c>
      <c r="J67" s="8">
        <v>62.85</v>
      </c>
      <c r="K67" s="8"/>
    </row>
    <row r="68" spans="1:11" s="5" customFormat="1" ht="14.25" customHeight="1">
      <c r="A68" s="8">
        <v>66</v>
      </c>
      <c r="B68" s="8" t="str">
        <f>"曹琪"</f>
        <v>曹琪</v>
      </c>
      <c r="C68" s="8" t="str">
        <f>"女"</f>
        <v>女</v>
      </c>
      <c r="D68" s="8" t="str">
        <f>"202301223811"</f>
        <v>202301223811</v>
      </c>
      <c r="E68" s="8" t="str">
        <f t="shared" ref="E68:E72" si="30">"15"</f>
        <v>15</v>
      </c>
      <c r="F68" s="8" t="s">
        <v>21</v>
      </c>
      <c r="G68" s="8" t="s">
        <v>19</v>
      </c>
      <c r="H68" s="8" t="str">
        <f>"38"</f>
        <v>38</v>
      </c>
      <c r="I68" s="8" t="str">
        <f>"11"</f>
        <v>11</v>
      </c>
      <c r="J68" s="8">
        <v>84.8</v>
      </c>
      <c r="K68" s="8"/>
    </row>
    <row r="69" spans="1:11" s="4" customFormat="1" ht="14.25" customHeight="1">
      <c r="A69" s="8">
        <v>67</v>
      </c>
      <c r="B69" s="8" t="str">
        <f>"王相"</f>
        <v>王相</v>
      </c>
      <c r="C69" s="8" t="str">
        <f>"男"</f>
        <v>男</v>
      </c>
      <c r="D69" s="8" t="str">
        <f>"202301223906"</f>
        <v>202301223906</v>
      </c>
      <c r="E69" s="8" t="str">
        <f t="shared" si="30"/>
        <v>15</v>
      </c>
      <c r="F69" s="8" t="s">
        <v>21</v>
      </c>
      <c r="G69" s="8" t="s">
        <v>19</v>
      </c>
      <c r="H69" s="8" t="str">
        <f>"39"</f>
        <v>39</v>
      </c>
      <c r="I69" s="8" t="str">
        <f>"06"</f>
        <v>06</v>
      </c>
      <c r="J69" s="8">
        <v>84.75</v>
      </c>
      <c r="K69" s="8"/>
    </row>
    <row r="70" spans="1:11" s="5" customFormat="1" ht="14.25" customHeight="1">
      <c r="A70" s="8">
        <v>68</v>
      </c>
      <c r="B70" s="8" t="str">
        <f>"张黎"</f>
        <v>张黎</v>
      </c>
      <c r="C70" s="8" t="str">
        <f>"女"</f>
        <v>女</v>
      </c>
      <c r="D70" s="8" t="str">
        <f>"202301223819"</f>
        <v>202301223819</v>
      </c>
      <c r="E70" s="8" t="str">
        <f t="shared" si="30"/>
        <v>15</v>
      </c>
      <c r="F70" s="8" t="s">
        <v>21</v>
      </c>
      <c r="G70" s="8" t="s">
        <v>19</v>
      </c>
      <c r="H70" s="8" t="str">
        <f>"38"</f>
        <v>38</v>
      </c>
      <c r="I70" s="8" t="str">
        <f>"19"</f>
        <v>19</v>
      </c>
      <c r="J70" s="8">
        <v>83.25</v>
      </c>
      <c r="K70" s="8"/>
    </row>
    <row r="71" spans="1:11" s="4" customFormat="1" ht="14.25" customHeight="1">
      <c r="A71" s="8">
        <v>69</v>
      </c>
      <c r="B71" s="8" t="str">
        <f>"侯乐"</f>
        <v>侯乐</v>
      </c>
      <c r="C71" s="8" t="str">
        <f>"女"</f>
        <v>女</v>
      </c>
      <c r="D71" s="8" t="str">
        <f>"202301223908"</f>
        <v>202301223908</v>
      </c>
      <c r="E71" s="8" t="str">
        <f t="shared" si="30"/>
        <v>15</v>
      </c>
      <c r="F71" s="8" t="s">
        <v>21</v>
      </c>
      <c r="G71" s="8" t="s">
        <v>19</v>
      </c>
      <c r="H71" s="8" t="str">
        <f>"39"</f>
        <v>39</v>
      </c>
      <c r="I71" s="8" t="str">
        <f>"08"</f>
        <v>08</v>
      </c>
      <c r="J71" s="8">
        <v>82.25</v>
      </c>
      <c r="K71" s="8"/>
    </row>
    <row r="72" spans="1:11" s="4" customFormat="1" ht="14.25" customHeight="1">
      <c r="A72" s="8">
        <v>70</v>
      </c>
      <c r="B72" s="9" t="str">
        <f>"唐纯"</f>
        <v>唐纯</v>
      </c>
      <c r="C72" s="9" t="str">
        <f>"女"</f>
        <v>女</v>
      </c>
      <c r="D72" s="9" t="str">
        <f>"202301223917"</f>
        <v>202301223917</v>
      </c>
      <c r="E72" s="9" t="str">
        <f t="shared" si="30"/>
        <v>15</v>
      </c>
      <c r="F72" s="9" t="s">
        <v>21</v>
      </c>
      <c r="G72" s="9" t="s">
        <v>19</v>
      </c>
      <c r="H72" s="9" t="str">
        <f>"39"</f>
        <v>39</v>
      </c>
      <c r="I72" s="9" t="str">
        <f>"17"</f>
        <v>17</v>
      </c>
      <c r="J72" s="9">
        <v>82.25</v>
      </c>
      <c r="K72" s="9"/>
    </row>
    <row r="73" spans="1:11" s="4" customFormat="1" ht="14.25" customHeight="1">
      <c r="A73" s="8">
        <v>71</v>
      </c>
      <c r="B73" s="8" t="str">
        <f>"李燕灵"</f>
        <v>李燕灵</v>
      </c>
      <c r="C73" s="8" t="str">
        <f t="shared" ref="C73:C76" si="31">"女"</f>
        <v>女</v>
      </c>
      <c r="D73" s="8" t="str">
        <f>"202301224819"</f>
        <v>202301224819</v>
      </c>
      <c r="E73" s="8" t="str">
        <f t="shared" ref="E73:E76" si="32">"16"</f>
        <v>16</v>
      </c>
      <c r="F73" s="8" t="s">
        <v>18</v>
      </c>
      <c r="G73" s="8" t="s">
        <v>19</v>
      </c>
      <c r="H73" s="8" t="str">
        <f t="shared" ref="H73:H76" si="33">"48"</f>
        <v>48</v>
      </c>
      <c r="I73" s="8" t="str">
        <f>"19"</f>
        <v>19</v>
      </c>
      <c r="J73" s="8">
        <v>91.25</v>
      </c>
      <c r="K73" s="8"/>
    </row>
    <row r="74" spans="1:11" s="4" customFormat="1" ht="14.25" customHeight="1">
      <c r="A74" s="8">
        <v>72</v>
      </c>
      <c r="B74" s="8" t="str">
        <f>"唐宝平"</f>
        <v>唐宝平</v>
      </c>
      <c r="C74" s="8" t="str">
        <f t="shared" si="31"/>
        <v>女</v>
      </c>
      <c r="D74" s="8" t="str">
        <f>"202301224818"</f>
        <v>202301224818</v>
      </c>
      <c r="E74" s="8" t="str">
        <f t="shared" si="32"/>
        <v>16</v>
      </c>
      <c r="F74" s="8" t="s">
        <v>18</v>
      </c>
      <c r="G74" s="8" t="s">
        <v>19</v>
      </c>
      <c r="H74" s="8" t="str">
        <f t="shared" si="33"/>
        <v>48</v>
      </c>
      <c r="I74" s="8" t="str">
        <f>"18"</f>
        <v>18</v>
      </c>
      <c r="J74" s="8">
        <v>88.5</v>
      </c>
      <c r="K74" s="8"/>
    </row>
    <row r="75" spans="1:11" s="4" customFormat="1" ht="14.25" customHeight="1">
      <c r="A75" s="8">
        <v>73</v>
      </c>
      <c r="B75" s="8" t="str">
        <f>"符静雯"</f>
        <v>符静雯</v>
      </c>
      <c r="C75" s="8" t="str">
        <f t="shared" si="31"/>
        <v>女</v>
      </c>
      <c r="D75" s="8" t="str">
        <f>"202301224813"</f>
        <v>202301224813</v>
      </c>
      <c r="E75" s="8" t="str">
        <f t="shared" si="32"/>
        <v>16</v>
      </c>
      <c r="F75" s="8" t="s">
        <v>18</v>
      </c>
      <c r="G75" s="8" t="s">
        <v>19</v>
      </c>
      <c r="H75" s="8" t="str">
        <f t="shared" si="33"/>
        <v>48</v>
      </c>
      <c r="I75" s="8" t="str">
        <f>"13"</f>
        <v>13</v>
      </c>
      <c r="J75" s="8">
        <v>86.05</v>
      </c>
      <c r="K75" s="8"/>
    </row>
    <row r="76" spans="1:11" s="5" customFormat="1" ht="14.25" customHeight="1">
      <c r="A76" s="8">
        <v>74</v>
      </c>
      <c r="B76" s="8" t="str">
        <f>"欧泽为"</f>
        <v>欧泽为</v>
      </c>
      <c r="C76" s="8" t="str">
        <f t="shared" si="31"/>
        <v>女</v>
      </c>
      <c r="D76" s="8" t="str">
        <f>"202301224806"</f>
        <v>202301224806</v>
      </c>
      <c r="E76" s="8" t="str">
        <f t="shared" si="32"/>
        <v>16</v>
      </c>
      <c r="F76" s="8" t="s">
        <v>18</v>
      </c>
      <c r="G76" s="8" t="s">
        <v>19</v>
      </c>
      <c r="H76" s="8" t="str">
        <f t="shared" si="33"/>
        <v>48</v>
      </c>
      <c r="I76" s="8" t="str">
        <f>"06"</f>
        <v>06</v>
      </c>
      <c r="J76" s="8">
        <v>86</v>
      </c>
      <c r="K76" s="8"/>
    </row>
    <row r="77" spans="1:11" s="4" customFormat="1" ht="14.25" customHeight="1">
      <c r="A77" s="8">
        <v>75</v>
      </c>
      <c r="B77" s="8" t="str">
        <f>"黄也"</f>
        <v>黄也</v>
      </c>
      <c r="C77" s="8" t="str">
        <f t="shared" ref="C77:C84" si="34">"女"</f>
        <v>女</v>
      </c>
      <c r="D77" s="8" t="str">
        <f>"202301224727"</f>
        <v>202301224727</v>
      </c>
      <c r="E77" s="8" t="str">
        <f t="shared" ref="E77:E84" si="35">"17"</f>
        <v>17</v>
      </c>
      <c r="F77" s="8" t="s">
        <v>22</v>
      </c>
      <c r="G77" s="8" t="s">
        <v>19</v>
      </c>
      <c r="H77" s="8" t="str">
        <f>"47"</f>
        <v>47</v>
      </c>
      <c r="I77" s="8" t="str">
        <f>"27"</f>
        <v>27</v>
      </c>
      <c r="J77" s="8">
        <v>73.150000000000006</v>
      </c>
      <c r="K77" s="8"/>
    </row>
    <row r="78" spans="1:11" s="5" customFormat="1" ht="14.25" customHeight="1">
      <c r="A78" s="8">
        <v>76</v>
      </c>
      <c r="B78" s="9" t="str">
        <f>"龚薇"</f>
        <v>龚薇</v>
      </c>
      <c r="C78" s="9" t="str">
        <f t="shared" si="34"/>
        <v>女</v>
      </c>
      <c r="D78" s="9" t="str">
        <f>"202301224503"</f>
        <v>202301224503</v>
      </c>
      <c r="E78" s="9" t="str">
        <f t="shared" si="35"/>
        <v>17</v>
      </c>
      <c r="F78" s="9" t="s">
        <v>22</v>
      </c>
      <c r="G78" s="9" t="s">
        <v>19</v>
      </c>
      <c r="H78" s="9" t="str">
        <f>"45"</f>
        <v>45</v>
      </c>
      <c r="I78" s="9" t="str">
        <f>"03"</f>
        <v>03</v>
      </c>
      <c r="J78" s="9">
        <v>72.55</v>
      </c>
      <c r="K78" s="9"/>
    </row>
    <row r="79" spans="1:11" s="5" customFormat="1" ht="14.25" customHeight="1">
      <c r="A79" s="8">
        <v>77</v>
      </c>
      <c r="B79" s="8" t="str">
        <f>"刘倩"</f>
        <v>刘倩</v>
      </c>
      <c r="C79" s="8" t="str">
        <f t="shared" si="34"/>
        <v>女</v>
      </c>
      <c r="D79" s="8" t="str">
        <f>"202301224303"</f>
        <v>202301224303</v>
      </c>
      <c r="E79" s="8" t="str">
        <f t="shared" si="35"/>
        <v>17</v>
      </c>
      <c r="F79" s="8" t="s">
        <v>22</v>
      </c>
      <c r="G79" s="8" t="s">
        <v>19</v>
      </c>
      <c r="H79" s="8" t="str">
        <f>"43"</f>
        <v>43</v>
      </c>
      <c r="I79" s="8" t="str">
        <f>"03"</f>
        <v>03</v>
      </c>
      <c r="J79" s="8">
        <v>72.25</v>
      </c>
      <c r="K79" s="8"/>
    </row>
    <row r="80" spans="1:11" s="4" customFormat="1" ht="14.25" customHeight="1">
      <c r="A80" s="8">
        <v>78</v>
      </c>
      <c r="B80" s="8" t="str">
        <f>"谭玉涓"</f>
        <v>谭玉涓</v>
      </c>
      <c r="C80" s="8" t="str">
        <f t="shared" si="34"/>
        <v>女</v>
      </c>
      <c r="D80" s="8" t="str">
        <f>"202301224214"</f>
        <v>202301224214</v>
      </c>
      <c r="E80" s="8" t="str">
        <f t="shared" si="35"/>
        <v>17</v>
      </c>
      <c r="F80" s="8" t="s">
        <v>22</v>
      </c>
      <c r="G80" s="8" t="s">
        <v>19</v>
      </c>
      <c r="H80" s="8" t="str">
        <f>"42"</f>
        <v>42</v>
      </c>
      <c r="I80" s="8" t="str">
        <f>"14"</f>
        <v>14</v>
      </c>
      <c r="J80" s="8">
        <v>72.2</v>
      </c>
      <c r="K80" s="8"/>
    </row>
    <row r="81" spans="1:11" s="4" customFormat="1" ht="14.25" customHeight="1">
      <c r="A81" s="8">
        <v>79</v>
      </c>
      <c r="B81" s="8" t="str">
        <f>"何雨婷"</f>
        <v>何雨婷</v>
      </c>
      <c r="C81" s="8" t="str">
        <f t="shared" si="34"/>
        <v>女</v>
      </c>
      <c r="D81" s="8" t="str">
        <f>"202301224522"</f>
        <v>202301224522</v>
      </c>
      <c r="E81" s="8" t="str">
        <f t="shared" si="35"/>
        <v>17</v>
      </c>
      <c r="F81" s="8" t="s">
        <v>22</v>
      </c>
      <c r="G81" s="8" t="s">
        <v>19</v>
      </c>
      <c r="H81" s="8" t="str">
        <f>"45"</f>
        <v>45</v>
      </c>
      <c r="I81" s="8" t="str">
        <f>"22"</f>
        <v>22</v>
      </c>
      <c r="J81" s="8">
        <v>71.95</v>
      </c>
      <c r="K81" s="8"/>
    </row>
    <row r="82" spans="1:11" s="5" customFormat="1" ht="14.25" customHeight="1">
      <c r="A82" s="8">
        <v>80</v>
      </c>
      <c r="B82" s="8" t="str">
        <f>"谭琼"</f>
        <v>谭琼</v>
      </c>
      <c r="C82" s="8" t="str">
        <f t="shared" si="34"/>
        <v>女</v>
      </c>
      <c r="D82" s="8" t="str">
        <f>"202301224622"</f>
        <v>202301224622</v>
      </c>
      <c r="E82" s="8" t="str">
        <f t="shared" si="35"/>
        <v>17</v>
      </c>
      <c r="F82" s="8" t="s">
        <v>22</v>
      </c>
      <c r="G82" s="8" t="s">
        <v>19</v>
      </c>
      <c r="H82" s="8" t="str">
        <f>"46"</f>
        <v>46</v>
      </c>
      <c r="I82" s="8" t="str">
        <f>"22"</f>
        <v>22</v>
      </c>
      <c r="J82" s="8">
        <v>71.7</v>
      </c>
      <c r="K82" s="8"/>
    </row>
    <row r="83" spans="1:11" s="5" customFormat="1" ht="14.25" customHeight="1">
      <c r="A83" s="8">
        <v>81</v>
      </c>
      <c r="B83" s="9" t="str">
        <f>"肖惠中"</f>
        <v>肖惠中</v>
      </c>
      <c r="C83" s="8" t="str">
        <f t="shared" si="34"/>
        <v>女</v>
      </c>
      <c r="D83" s="8" t="str">
        <f>"202301224318"</f>
        <v>202301224318</v>
      </c>
      <c r="E83" s="8" t="str">
        <f t="shared" si="35"/>
        <v>17</v>
      </c>
      <c r="F83" s="8" t="s">
        <v>22</v>
      </c>
      <c r="G83" s="8" t="s">
        <v>19</v>
      </c>
      <c r="H83" s="8" t="str">
        <f>"43"</f>
        <v>43</v>
      </c>
      <c r="I83" s="8" t="str">
        <f>"18"</f>
        <v>18</v>
      </c>
      <c r="J83" s="8">
        <v>71.45</v>
      </c>
      <c r="K83" s="8"/>
    </row>
    <row r="84" spans="1:11" s="5" customFormat="1" ht="14.25" customHeight="1">
      <c r="A84" s="8">
        <v>82</v>
      </c>
      <c r="B84" s="8" t="str">
        <f>"汪芷妍"</f>
        <v>汪芷妍</v>
      </c>
      <c r="C84" s="8" t="str">
        <f t="shared" si="34"/>
        <v>女</v>
      </c>
      <c r="D84" s="8" t="str">
        <f>"202301224330"</f>
        <v>202301224330</v>
      </c>
      <c r="E84" s="8" t="str">
        <f t="shared" si="35"/>
        <v>17</v>
      </c>
      <c r="F84" s="8" t="s">
        <v>22</v>
      </c>
      <c r="G84" s="8" t="s">
        <v>19</v>
      </c>
      <c r="H84" s="8" t="str">
        <f>"43"</f>
        <v>43</v>
      </c>
      <c r="I84" s="8" t="str">
        <f>"30"</f>
        <v>30</v>
      </c>
      <c r="J84" s="8">
        <v>71.400000000000006</v>
      </c>
      <c r="K84" s="8"/>
    </row>
    <row r="85" spans="1:11" s="4" customFormat="1" ht="14.25" customHeight="1">
      <c r="A85" s="8">
        <v>83</v>
      </c>
      <c r="B85" s="9" t="str">
        <f>"曾依依"</f>
        <v>曾依依</v>
      </c>
      <c r="C85" s="9" t="str">
        <f>"女"</f>
        <v>女</v>
      </c>
      <c r="D85" s="9" t="str">
        <f>"202301222821"</f>
        <v>202301222821</v>
      </c>
      <c r="E85" s="9" t="str">
        <f t="shared" ref="E85:E94" si="36">"18"</f>
        <v>18</v>
      </c>
      <c r="F85" s="9" t="s">
        <v>23</v>
      </c>
      <c r="G85" s="9" t="s">
        <v>19</v>
      </c>
      <c r="H85" s="9" t="str">
        <f>"28"</f>
        <v>28</v>
      </c>
      <c r="I85" s="9" t="str">
        <f>"21"</f>
        <v>21</v>
      </c>
      <c r="J85" s="9">
        <v>68.849999999999994</v>
      </c>
      <c r="K85" s="9"/>
    </row>
    <row r="86" spans="1:11" s="5" customFormat="1" ht="14.25" customHeight="1">
      <c r="A86" s="8">
        <v>84</v>
      </c>
      <c r="B86" s="9" t="str">
        <f>"罗志豪"</f>
        <v>罗志豪</v>
      </c>
      <c r="C86" s="9" t="str">
        <f>"男"</f>
        <v>男</v>
      </c>
      <c r="D86" s="9" t="str">
        <f>"202301222605"</f>
        <v>202301222605</v>
      </c>
      <c r="E86" s="9" t="str">
        <f t="shared" si="36"/>
        <v>18</v>
      </c>
      <c r="F86" s="9" t="s">
        <v>23</v>
      </c>
      <c r="G86" s="9" t="s">
        <v>19</v>
      </c>
      <c r="H86" s="9" t="str">
        <f>"26"</f>
        <v>26</v>
      </c>
      <c r="I86" s="9" t="str">
        <f>"05"</f>
        <v>05</v>
      </c>
      <c r="J86" s="9">
        <v>68.099999999999994</v>
      </c>
      <c r="K86" s="9"/>
    </row>
    <row r="87" spans="1:11" s="4" customFormat="1" ht="14.25" customHeight="1">
      <c r="A87" s="8">
        <v>85</v>
      </c>
      <c r="B87" s="8" t="str">
        <f>"张海婷"</f>
        <v>张海婷</v>
      </c>
      <c r="C87" s="8" t="str">
        <f>"女"</f>
        <v>女</v>
      </c>
      <c r="D87" s="8" t="str">
        <f>"202301222617"</f>
        <v>202301222617</v>
      </c>
      <c r="E87" s="8" t="str">
        <f t="shared" si="36"/>
        <v>18</v>
      </c>
      <c r="F87" s="8" t="s">
        <v>23</v>
      </c>
      <c r="G87" s="8" t="s">
        <v>19</v>
      </c>
      <c r="H87" s="8" t="str">
        <f>"26"</f>
        <v>26</v>
      </c>
      <c r="I87" s="8" t="str">
        <f>"17"</f>
        <v>17</v>
      </c>
      <c r="J87" s="8">
        <v>67.45</v>
      </c>
      <c r="K87" s="8"/>
    </row>
    <row r="88" spans="1:11" s="4" customFormat="1" ht="14.25" customHeight="1">
      <c r="A88" s="8">
        <v>86</v>
      </c>
      <c r="B88" s="8" t="str">
        <f>"吕淑颖"</f>
        <v>吕淑颖</v>
      </c>
      <c r="C88" s="8" t="str">
        <f>"女"</f>
        <v>女</v>
      </c>
      <c r="D88" s="8" t="str">
        <f>"202301222705"</f>
        <v>202301222705</v>
      </c>
      <c r="E88" s="8" t="str">
        <f t="shared" si="36"/>
        <v>18</v>
      </c>
      <c r="F88" s="8" t="s">
        <v>23</v>
      </c>
      <c r="G88" s="8" t="s">
        <v>19</v>
      </c>
      <c r="H88" s="8" t="str">
        <f>"27"</f>
        <v>27</v>
      </c>
      <c r="I88" s="8" t="str">
        <f>"05"</f>
        <v>05</v>
      </c>
      <c r="J88" s="8">
        <v>67.45</v>
      </c>
      <c r="K88" s="8"/>
    </row>
    <row r="89" spans="1:11" s="4" customFormat="1" ht="14.25" customHeight="1">
      <c r="A89" s="8">
        <v>87</v>
      </c>
      <c r="B89" s="8" t="str">
        <f>"谭俗凡"</f>
        <v>谭俗凡</v>
      </c>
      <c r="C89" s="8" t="str">
        <f>"女"</f>
        <v>女</v>
      </c>
      <c r="D89" s="8" t="str">
        <f>"202301222827"</f>
        <v>202301222827</v>
      </c>
      <c r="E89" s="8" t="str">
        <f t="shared" si="36"/>
        <v>18</v>
      </c>
      <c r="F89" s="8" t="s">
        <v>23</v>
      </c>
      <c r="G89" s="8" t="s">
        <v>19</v>
      </c>
      <c r="H89" s="8" t="str">
        <f>"28"</f>
        <v>28</v>
      </c>
      <c r="I89" s="8" t="str">
        <f>"27"</f>
        <v>27</v>
      </c>
      <c r="J89" s="8">
        <v>66.599999999999994</v>
      </c>
      <c r="K89" s="8"/>
    </row>
    <row r="90" spans="1:11" s="5" customFormat="1" ht="14.25" customHeight="1">
      <c r="A90" s="8">
        <v>88</v>
      </c>
      <c r="B90" s="8" t="str">
        <f>"唐盈"</f>
        <v>唐盈</v>
      </c>
      <c r="C90" s="8" t="str">
        <f>"女"</f>
        <v>女</v>
      </c>
      <c r="D90" s="8" t="str">
        <f>"202301222623"</f>
        <v>202301222623</v>
      </c>
      <c r="E90" s="8" t="str">
        <f t="shared" si="36"/>
        <v>18</v>
      </c>
      <c r="F90" s="8" t="s">
        <v>23</v>
      </c>
      <c r="G90" s="8" t="s">
        <v>19</v>
      </c>
      <c r="H90" s="8" t="str">
        <f>"26"</f>
        <v>26</v>
      </c>
      <c r="I90" s="8" t="str">
        <f>"23"</f>
        <v>23</v>
      </c>
      <c r="J90" s="8">
        <v>66.099999999999994</v>
      </c>
      <c r="K90" s="8"/>
    </row>
    <row r="91" spans="1:11" s="5" customFormat="1" ht="14.25" customHeight="1">
      <c r="A91" s="8">
        <v>89</v>
      </c>
      <c r="B91" s="8" t="str">
        <f>"吴连成"</f>
        <v>吴连成</v>
      </c>
      <c r="C91" s="8" t="str">
        <f>"男"</f>
        <v>男</v>
      </c>
      <c r="D91" s="8" t="str">
        <f>"202301222613"</f>
        <v>202301222613</v>
      </c>
      <c r="E91" s="8" t="str">
        <f t="shared" si="36"/>
        <v>18</v>
      </c>
      <c r="F91" s="8" t="s">
        <v>23</v>
      </c>
      <c r="G91" s="8" t="s">
        <v>19</v>
      </c>
      <c r="H91" s="8" t="str">
        <f>"26"</f>
        <v>26</v>
      </c>
      <c r="I91" s="8" t="str">
        <f>"13"</f>
        <v>13</v>
      </c>
      <c r="J91" s="8">
        <v>65.849999999999994</v>
      </c>
      <c r="K91" s="8"/>
    </row>
    <row r="92" spans="1:11" s="4" customFormat="1" ht="14.25" customHeight="1">
      <c r="A92" s="8">
        <v>90</v>
      </c>
      <c r="B92" s="9" t="str">
        <f>"严俊"</f>
        <v>严俊</v>
      </c>
      <c r="C92" s="9" t="str">
        <f>"男"</f>
        <v>男</v>
      </c>
      <c r="D92" s="9" t="str">
        <f>"202301222630"</f>
        <v>202301222630</v>
      </c>
      <c r="E92" s="9" t="str">
        <f t="shared" si="36"/>
        <v>18</v>
      </c>
      <c r="F92" s="9" t="s">
        <v>23</v>
      </c>
      <c r="G92" s="9" t="s">
        <v>19</v>
      </c>
      <c r="H92" s="9" t="str">
        <f>"26"</f>
        <v>26</v>
      </c>
      <c r="I92" s="9" t="str">
        <f>"30"</f>
        <v>30</v>
      </c>
      <c r="J92" s="9">
        <v>65.650000000000006</v>
      </c>
      <c r="K92" s="9"/>
    </row>
    <row r="93" spans="1:11" s="4" customFormat="1" ht="14.25" customHeight="1">
      <c r="A93" s="8">
        <v>91</v>
      </c>
      <c r="B93" s="8" t="str">
        <f>"黄欣"</f>
        <v>黄欣</v>
      </c>
      <c r="C93" s="8" t="str">
        <f>"女"</f>
        <v>女</v>
      </c>
      <c r="D93" s="8" t="str">
        <f>"202301222334"</f>
        <v>202301222334</v>
      </c>
      <c r="E93" s="8" t="str">
        <f t="shared" si="36"/>
        <v>18</v>
      </c>
      <c r="F93" s="8" t="s">
        <v>23</v>
      </c>
      <c r="G93" s="8" t="s">
        <v>19</v>
      </c>
      <c r="H93" s="8" t="str">
        <f>"23"</f>
        <v>23</v>
      </c>
      <c r="I93" s="8" t="str">
        <f>"34"</f>
        <v>34</v>
      </c>
      <c r="J93" s="8">
        <v>65.55</v>
      </c>
      <c r="K93" s="8"/>
    </row>
    <row r="94" spans="1:11" s="4" customFormat="1" ht="14.25" customHeight="1">
      <c r="A94" s="8">
        <v>92</v>
      </c>
      <c r="B94" s="8" t="str">
        <f>"周艳杰"</f>
        <v>周艳杰</v>
      </c>
      <c r="C94" s="8" t="str">
        <f>"男"</f>
        <v>男</v>
      </c>
      <c r="D94" s="8" t="str">
        <f>"202301222920"</f>
        <v>202301222920</v>
      </c>
      <c r="E94" s="8" t="str">
        <f t="shared" si="36"/>
        <v>18</v>
      </c>
      <c r="F94" s="8" t="s">
        <v>23</v>
      </c>
      <c r="G94" s="8" t="s">
        <v>19</v>
      </c>
      <c r="H94" s="8" t="str">
        <f>"29"</f>
        <v>29</v>
      </c>
      <c r="I94" s="8" t="str">
        <f>"20"</f>
        <v>20</v>
      </c>
      <c r="J94" s="8">
        <v>65.5</v>
      </c>
      <c r="K94" s="8"/>
    </row>
    <row r="95" spans="1:11" s="5" customFormat="1" ht="14.25" customHeight="1">
      <c r="A95" s="8">
        <v>93</v>
      </c>
      <c r="B95" s="8" t="str">
        <f>"秦嘉斐"</f>
        <v>秦嘉斐</v>
      </c>
      <c r="C95" s="8" t="str">
        <f>"女"</f>
        <v>女</v>
      </c>
      <c r="D95" s="8" t="str">
        <f>"202301223020"</f>
        <v>202301223020</v>
      </c>
      <c r="E95" s="8" t="str">
        <f t="shared" ref="E95:E98" si="37">"19"</f>
        <v>19</v>
      </c>
      <c r="F95" s="8" t="s">
        <v>24</v>
      </c>
      <c r="G95" s="8" t="s">
        <v>19</v>
      </c>
      <c r="H95" s="8" t="str">
        <f>"30"</f>
        <v>30</v>
      </c>
      <c r="I95" s="8" t="str">
        <f>"20"</f>
        <v>20</v>
      </c>
      <c r="J95" s="8">
        <v>87.3</v>
      </c>
      <c r="K95" s="8"/>
    </row>
    <row r="96" spans="1:11" s="5" customFormat="1" ht="14.25" customHeight="1">
      <c r="A96" s="8">
        <v>94</v>
      </c>
      <c r="B96" s="8" t="str">
        <f>"陈熙"</f>
        <v>陈熙</v>
      </c>
      <c r="C96" s="8" t="str">
        <f>"女"</f>
        <v>女</v>
      </c>
      <c r="D96" s="8" t="str">
        <f>"202301223425"</f>
        <v>202301223425</v>
      </c>
      <c r="E96" s="8" t="str">
        <f t="shared" si="37"/>
        <v>19</v>
      </c>
      <c r="F96" s="8" t="s">
        <v>24</v>
      </c>
      <c r="G96" s="8" t="s">
        <v>19</v>
      </c>
      <c r="H96" s="8" t="str">
        <f>"34"</f>
        <v>34</v>
      </c>
      <c r="I96" s="8" t="str">
        <f>"25"</f>
        <v>25</v>
      </c>
      <c r="J96" s="8">
        <v>85.7</v>
      </c>
      <c r="K96" s="8"/>
    </row>
    <row r="97" spans="1:11" s="4" customFormat="1" ht="14.25" customHeight="1">
      <c r="A97" s="8">
        <v>95</v>
      </c>
      <c r="B97" s="8" t="str">
        <f>"李硕"</f>
        <v>李硕</v>
      </c>
      <c r="C97" s="8" t="str">
        <f>"男"</f>
        <v>男</v>
      </c>
      <c r="D97" s="8" t="str">
        <f>"202301223715"</f>
        <v>202301223715</v>
      </c>
      <c r="E97" s="8" t="str">
        <f t="shared" si="37"/>
        <v>19</v>
      </c>
      <c r="F97" s="8" t="s">
        <v>24</v>
      </c>
      <c r="G97" s="8" t="s">
        <v>19</v>
      </c>
      <c r="H97" s="8" t="str">
        <f>"37"</f>
        <v>37</v>
      </c>
      <c r="I97" s="8" t="str">
        <f>"15"</f>
        <v>15</v>
      </c>
      <c r="J97" s="8">
        <v>85.6</v>
      </c>
      <c r="K97" s="8"/>
    </row>
    <row r="98" spans="1:11" s="5" customFormat="1" ht="14.25" customHeight="1">
      <c r="A98" s="8">
        <v>96</v>
      </c>
      <c r="B98" s="8" t="str">
        <f>"张璐"</f>
        <v>张璐</v>
      </c>
      <c r="C98" s="8" t="str">
        <f t="shared" ref="C98" si="38">"女"</f>
        <v>女</v>
      </c>
      <c r="D98" s="8" t="str">
        <f>"202301223110"</f>
        <v>202301223110</v>
      </c>
      <c r="E98" s="8" t="str">
        <f t="shared" si="37"/>
        <v>19</v>
      </c>
      <c r="F98" s="8" t="s">
        <v>24</v>
      </c>
      <c r="G98" s="8" t="s">
        <v>19</v>
      </c>
      <c r="H98" s="8" t="str">
        <f>"31"</f>
        <v>31</v>
      </c>
      <c r="I98" s="8" t="str">
        <f>"10"</f>
        <v>10</v>
      </c>
      <c r="J98" s="8">
        <v>85.55</v>
      </c>
      <c r="K98" s="8"/>
    </row>
    <row r="99" spans="1:11" s="4" customFormat="1" ht="14.25" customHeight="1">
      <c r="A99" s="8">
        <v>97</v>
      </c>
      <c r="B99" s="8" t="str">
        <f>"王文岚"</f>
        <v>王文岚</v>
      </c>
      <c r="C99" s="8" t="str">
        <f t="shared" ref="C99:C100" si="39">"女"</f>
        <v>女</v>
      </c>
      <c r="D99" s="8" t="str">
        <f>"202301224112"</f>
        <v>202301224112</v>
      </c>
      <c r="E99" s="8" t="str">
        <f t="shared" ref="E99:E100" si="40">"20"</f>
        <v>20</v>
      </c>
      <c r="F99" s="8" t="s">
        <v>25</v>
      </c>
      <c r="G99" s="8" t="s">
        <v>19</v>
      </c>
      <c r="H99" s="8" t="str">
        <f t="shared" ref="H99:H100" si="41">"41"</f>
        <v>41</v>
      </c>
      <c r="I99" s="8" t="str">
        <f>"12"</f>
        <v>12</v>
      </c>
      <c r="J99" s="8">
        <v>81.75</v>
      </c>
      <c r="K99" s="8"/>
    </row>
    <row r="100" spans="1:11" s="4" customFormat="1" ht="14.25" customHeight="1">
      <c r="A100" s="8">
        <v>98</v>
      </c>
      <c r="B100" s="9" t="str">
        <f>"文霞"</f>
        <v>文霞</v>
      </c>
      <c r="C100" s="9" t="str">
        <f t="shared" si="39"/>
        <v>女</v>
      </c>
      <c r="D100" s="9" t="str">
        <f>"202301224104"</f>
        <v>202301224104</v>
      </c>
      <c r="E100" s="9" t="str">
        <f t="shared" si="40"/>
        <v>20</v>
      </c>
      <c r="F100" s="9" t="s">
        <v>25</v>
      </c>
      <c r="G100" s="9" t="s">
        <v>19</v>
      </c>
      <c r="H100" s="9" t="str">
        <f t="shared" si="41"/>
        <v>41</v>
      </c>
      <c r="I100" s="9" t="str">
        <f>"04"</f>
        <v>04</v>
      </c>
      <c r="J100" s="9">
        <v>76.650000000000006</v>
      </c>
      <c r="K100" s="9"/>
    </row>
    <row r="101" spans="1:11" s="5" customFormat="1" ht="14.25" customHeight="1">
      <c r="A101" s="8">
        <v>99</v>
      </c>
      <c r="B101" s="8" t="str">
        <f>"周丹"</f>
        <v>周丹</v>
      </c>
      <c r="C101" s="8" t="str">
        <f t="shared" ref="C101:C102" si="42">"女"</f>
        <v>女</v>
      </c>
      <c r="D101" s="8" t="str">
        <f>"202301224821"</f>
        <v>202301224821</v>
      </c>
      <c r="E101" s="8" t="str">
        <f t="shared" ref="E101:E104" si="43">"21"</f>
        <v>21</v>
      </c>
      <c r="F101" s="8" t="s">
        <v>26</v>
      </c>
      <c r="G101" s="8" t="s">
        <v>19</v>
      </c>
      <c r="H101" s="8" t="str">
        <f>"48"</f>
        <v>48</v>
      </c>
      <c r="I101" s="8" t="str">
        <f>"21"</f>
        <v>21</v>
      </c>
      <c r="J101" s="8">
        <v>77.45</v>
      </c>
      <c r="K101" s="8"/>
    </row>
    <row r="102" spans="1:11" s="4" customFormat="1" ht="14.25" customHeight="1">
      <c r="A102" s="8">
        <v>100</v>
      </c>
      <c r="B102" s="8" t="str">
        <f>"庄珺"</f>
        <v>庄珺</v>
      </c>
      <c r="C102" s="8" t="str">
        <f t="shared" si="42"/>
        <v>女</v>
      </c>
      <c r="D102" s="8" t="str">
        <f>"202301224835"</f>
        <v>202301224835</v>
      </c>
      <c r="E102" s="8" t="str">
        <f t="shared" si="43"/>
        <v>21</v>
      </c>
      <c r="F102" s="8" t="s">
        <v>26</v>
      </c>
      <c r="G102" s="8" t="s">
        <v>19</v>
      </c>
      <c r="H102" s="8" t="str">
        <f>"48"</f>
        <v>48</v>
      </c>
      <c r="I102" s="8" t="str">
        <f>"35"</f>
        <v>35</v>
      </c>
      <c r="J102" s="8">
        <v>77.400000000000006</v>
      </c>
      <c r="K102" s="8"/>
    </row>
    <row r="103" spans="1:11" s="4" customFormat="1" ht="14.25" customHeight="1">
      <c r="A103" s="8">
        <v>101</v>
      </c>
      <c r="B103" s="9" t="str">
        <f>"陈星宇"</f>
        <v>陈星宇</v>
      </c>
      <c r="C103" s="9" t="str">
        <f>"男"</f>
        <v>男</v>
      </c>
      <c r="D103" s="9" t="str">
        <f>"202301224833"</f>
        <v>202301224833</v>
      </c>
      <c r="E103" s="9" t="str">
        <f t="shared" si="43"/>
        <v>21</v>
      </c>
      <c r="F103" s="9" t="s">
        <v>26</v>
      </c>
      <c r="G103" s="9" t="s">
        <v>19</v>
      </c>
      <c r="H103" s="9" t="str">
        <f>"48"</f>
        <v>48</v>
      </c>
      <c r="I103" s="9" t="str">
        <f>"33"</f>
        <v>33</v>
      </c>
      <c r="J103" s="9">
        <v>77.099999999999994</v>
      </c>
      <c r="K103" s="9"/>
    </row>
    <row r="104" spans="1:11" s="4" customFormat="1" ht="14.25" customHeight="1">
      <c r="A104" s="8">
        <v>102</v>
      </c>
      <c r="B104" s="8" t="str">
        <f>"杨文丽"</f>
        <v>杨文丽</v>
      </c>
      <c r="C104" s="8" t="str">
        <f>"女"</f>
        <v>女</v>
      </c>
      <c r="D104" s="8" t="str">
        <f>"202301224901"</f>
        <v>202301224901</v>
      </c>
      <c r="E104" s="8" t="str">
        <f t="shared" si="43"/>
        <v>21</v>
      </c>
      <c r="F104" s="8" t="s">
        <v>26</v>
      </c>
      <c r="G104" s="8" t="s">
        <v>19</v>
      </c>
      <c r="H104" s="8" t="str">
        <f>"49"</f>
        <v>49</v>
      </c>
      <c r="I104" s="8" t="str">
        <f>"01"</f>
        <v>01</v>
      </c>
      <c r="J104" s="8">
        <v>75.400000000000006</v>
      </c>
      <c r="K104" s="8"/>
    </row>
    <row r="105" spans="1:11" s="4" customFormat="1" ht="14.25" customHeight="1">
      <c r="A105" s="8">
        <v>103</v>
      </c>
      <c r="B105" s="8" t="str">
        <f>"苏润香"</f>
        <v>苏润香</v>
      </c>
      <c r="C105" s="8" t="str">
        <f t="shared" ref="C105:C110" si="44">"女"</f>
        <v>女</v>
      </c>
      <c r="D105" s="8" t="str">
        <f>"202301239631"</f>
        <v>202301239631</v>
      </c>
      <c r="E105" s="8" t="str">
        <f t="shared" ref="E105:E110" si="45">"22"</f>
        <v>22</v>
      </c>
      <c r="F105" s="8" t="s">
        <v>11</v>
      </c>
      <c r="G105" s="8" t="s">
        <v>27</v>
      </c>
      <c r="H105" s="8" t="str">
        <f>"96"</f>
        <v>96</v>
      </c>
      <c r="I105" s="8" t="str">
        <f>"31"</f>
        <v>31</v>
      </c>
      <c r="J105" s="8">
        <v>83.05</v>
      </c>
      <c r="K105" s="8"/>
    </row>
    <row r="106" spans="1:11" s="5" customFormat="1" ht="14.25" customHeight="1">
      <c r="A106" s="8">
        <v>104</v>
      </c>
      <c r="B106" s="9" t="str">
        <f>"陈涵"</f>
        <v>陈涵</v>
      </c>
      <c r="C106" s="8" t="str">
        <f t="shared" si="44"/>
        <v>女</v>
      </c>
      <c r="D106" s="8" t="str">
        <f>"202301237020"</f>
        <v>202301237020</v>
      </c>
      <c r="E106" s="8" t="str">
        <f t="shared" si="45"/>
        <v>22</v>
      </c>
      <c r="F106" s="8" t="s">
        <v>11</v>
      </c>
      <c r="G106" s="8" t="s">
        <v>27</v>
      </c>
      <c r="H106" s="8" t="str">
        <f>"70"</f>
        <v>70</v>
      </c>
      <c r="I106" s="8" t="str">
        <f>"20"</f>
        <v>20</v>
      </c>
      <c r="J106" s="8">
        <v>82.95</v>
      </c>
      <c r="K106" s="8"/>
    </row>
    <row r="107" spans="1:11" s="5" customFormat="1" ht="14.25" customHeight="1">
      <c r="A107" s="8">
        <v>105</v>
      </c>
      <c r="B107" s="8" t="str">
        <f>"喻茂能"</f>
        <v>喻茂能</v>
      </c>
      <c r="C107" s="8" t="str">
        <f t="shared" si="44"/>
        <v>女</v>
      </c>
      <c r="D107" s="8" t="str">
        <f>"202301236906"</f>
        <v>202301236906</v>
      </c>
      <c r="E107" s="8" t="str">
        <f t="shared" si="45"/>
        <v>22</v>
      </c>
      <c r="F107" s="8" t="s">
        <v>11</v>
      </c>
      <c r="G107" s="8" t="s">
        <v>27</v>
      </c>
      <c r="H107" s="8" t="str">
        <f>"69"</f>
        <v>69</v>
      </c>
      <c r="I107" s="8" t="str">
        <f>"06"</f>
        <v>06</v>
      </c>
      <c r="J107" s="8">
        <v>82.65</v>
      </c>
      <c r="K107" s="8"/>
    </row>
    <row r="108" spans="1:11" s="4" customFormat="1" ht="14.25" customHeight="1">
      <c r="A108" s="8">
        <v>106</v>
      </c>
      <c r="B108" s="8" t="str">
        <f>"唐瑶"</f>
        <v>唐瑶</v>
      </c>
      <c r="C108" s="8" t="str">
        <f t="shared" si="44"/>
        <v>女</v>
      </c>
      <c r="D108" s="8" t="str">
        <f>"202301237531"</f>
        <v>202301237531</v>
      </c>
      <c r="E108" s="8" t="str">
        <f t="shared" si="45"/>
        <v>22</v>
      </c>
      <c r="F108" s="8" t="s">
        <v>11</v>
      </c>
      <c r="G108" s="8" t="s">
        <v>27</v>
      </c>
      <c r="H108" s="8" t="str">
        <f>"75"</f>
        <v>75</v>
      </c>
      <c r="I108" s="8" t="str">
        <f>"31"</f>
        <v>31</v>
      </c>
      <c r="J108" s="8">
        <v>82.45</v>
      </c>
      <c r="K108" s="8"/>
    </row>
    <row r="109" spans="1:11" s="4" customFormat="1" ht="14.25" customHeight="1">
      <c r="A109" s="8">
        <v>107</v>
      </c>
      <c r="B109" s="8" t="str">
        <f>"廖梦玲"</f>
        <v>廖梦玲</v>
      </c>
      <c r="C109" s="8" t="str">
        <f t="shared" si="44"/>
        <v>女</v>
      </c>
      <c r="D109" s="8" t="str">
        <f>"202301236911"</f>
        <v>202301236911</v>
      </c>
      <c r="E109" s="8" t="str">
        <f t="shared" si="45"/>
        <v>22</v>
      </c>
      <c r="F109" s="8" t="s">
        <v>11</v>
      </c>
      <c r="G109" s="8" t="s">
        <v>27</v>
      </c>
      <c r="H109" s="8" t="str">
        <f>"69"</f>
        <v>69</v>
      </c>
      <c r="I109" s="8" t="str">
        <f>"11"</f>
        <v>11</v>
      </c>
      <c r="J109" s="8">
        <v>82.3</v>
      </c>
      <c r="K109" s="8"/>
    </row>
    <row r="110" spans="1:11" s="4" customFormat="1" ht="14.25" customHeight="1">
      <c r="A110" s="8">
        <v>108</v>
      </c>
      <c r="B110" s="9" t="str">
        <f>"龙紫嫣"</f>
        <v>龙紫嫣</v>
      </c>
      <c r="C110" s="9" t="str">
        <f t="shared" si="44"/>
        <v>女</v>
      </c>
      <c r="D110" s="9" t="str">
        <f>"202301239008"</f>
        <v>202301239008</v>
      </c>
      <c r="E110" s="9" t="str">
        <f t="shared" si="45"/>
        <v>22</v>
      </c>
      <c r="F110" s="9" t="s">
        <v>11</v>
      </c>
      <c r="G110" s="9" t="s">
        <v>27</v>
      </c>
      <c r="H110" s="9" t="str">
        <f>"90"</f>
        <v>90</v>
      </c>
      <c r="I110" s="9" t="str">
        <f>"08"</f>
        <v>08</v>
      </c>
      <c r="J110" s="9">
        <v>82.2</v>
      </c>
      <c r="K110" s="9"/>
    </row>
    <row r="111" spans="1:11" s="4" customFormat="1" ht="14.25" customHeight="1">
      <c r="A111" s="8">
        <v>109</v>
      </c>
      <c r="B111" s="8" t="str">
        <f>"刘荣"</f>
        <v>刘荣</v>
      </c>
      <c r="C111" s="8" t="str">
        <f>"女"</f>
        <v>女</v>
      </c>
      <c r="D111" s="8" t="str">
        <f>"202301231615"</f>
        <v>202301231615</v>
      </c>
      <c r="E111" s="8" t="str">
        <f t="shared" ref="E111:E114" si="46">"23"</f>
        <v>23</v>
      </c>
      <c r="F111" s="8" t="s">
        <v>13</v>
      </c>
      <c r="G111" s="8" t="s">
        <v>27</v>
      </c>
      <c r="H111" s="8" t="str">
        <f>"16"</f>
        <v>16</v>
      </c>
      <c r="I111" s="8" t="str">
        <f>"15"</f>
        <v>15</v>
      </c>
      <c r="J111" s="8">
        <v>92.45</v>
      </c>
      <c r="K111" s="8"/>
    </row>
    <row r="112" spans="1:11" s="4" customFormat="1" ht="14.25" customHeight="1">
      <c r="A112" s="8">
        <v>110</v>
      </c>
      <c r="B112" s="8" t="str">
        <f>"赵杰"</f>
        <v>赵杰</v>
      </c>
      <c r="C112" s="8" t="str">
        <f>"男"</f>
        <v>男</v>
      </c>
      <c r="D112" s="8" t="str">
        <f>"202301234821"</f>
        <v>202301234821</v>
      </c>
      <c r="E112" s="8" t="str">
        <f t="shared" si="46"/>
        <v>23</v>
      </c>
      <c r="F112" s="8" t="s">
        <v>13</v>
      </c>
      <c r="G112" s="8" t="s">
        <v>27</v>
      </c>
      <c r="H112" s="8" t="str">
        <f>"48"</f>
        <v>48</v>
      </c>
      <c r="I112" s="8" t="str">
        <f>"21"</f>
        <v>21</v>
      </c>
      <c r="J112" s="8">
        <v>92.25</v>
      </c>
      <c r="K112" s="8"/>
    </row>
    <row r="113" spans="1:11" s="4" customFormat="1" ht="14.25" customHeight="1">
      <c r="A113" s="8">
        <v>111</v>
      </c>
      <c r="B113" s="9" t="str">
        <f>"胡康凤"</f>
        <v>胡康凤</v>
      </c>
      <c r="C113" s="9" t="str">
        <f>"女"</f>
        <v>女</v>
      </c>
      <c r="D113" s="9" t="str">
        <f>"202301234431"</f>
        <v>202301234431</v>
      </c>
      <c r="E113" s="9" t="str">
        <f t="shared" si="46"/>
        <v>23</v>
      </c>
      <c r="F113" s="9" t="s">
        <v>13</v>
      </c>
      <c r="G113" s="9" t="s">
        <v>27</v>
      </c>
      <c r="H113" s="9" t="str">
        <f>"44"</f>
        <v>44</v>
      </c>
      <c r="I113" s="9" t="str">
        <f>"31"</f>
        <v>31</v>
      </c>
      <c r="J113" s="9">
        <v>92</v>
      </c>
      <c r="K113" s="9"/>
    </row>
    <row r="114" spans="1:11" s="4" customFormat="1" ht="14.25" customHeight="1">
      <c r="A114" s="8">
        <v>112</v>
      </c>
      <c r="B114" s="8" t="str">
        <f>"孙欢欢"</f>
        <v>孙欢欢</v>
      </c>
      <c r="C114" s="8" t="str">
        <f>"女"</f>
        <v>女</v>
      </c>
      <c r="D114" s="8" t="str">
        <f>"202301230917"</f>
        <v>202301230917</v>
      </c>
      <c r="E114" s="8" t="str">
        <f t="shared" si="46"/>
        <v>23</v>
      </c>
      <c r="F114" s="8" t="s">
        <v>13</v>
      </c>
      <c r="G114" s="8" t="s">
        <v>27</v>
      </c>
      <c r="H114" s="8" t="str">
        <f>"09"</f>
        <v>09</v>
      </c>
      <c r="I114" s="8" t="str">
        <f>"17"</f>
        <v>17</v>
      </c>
      <c r="J114" s="8">
        <v>91</v>
      </c>
      <c r="K114" s="8"/>
    </row>
    <row r="115" spans="1:11" s="4" customFormat="1" ht="14.25" customHeight="1">
      <c r="A115" s="8">
        <v>113</v>
      </c>
      <c r="B115" s="8" t="str">
        <f>"肖雯倩"</f>
        <v>肖雯倩</v>
      </c>
      <c r="C115" s="8" t="str">
        <f t="shared" ref="C115:C118" si="47">"女"</f>
        <v>女</v>
      </c>
      <c r="D115" s="8" t="str">
        <f>"202301227114"</f>
        <v>202301227114</v>
      </c>
      <c r="E115" s="8" t="str">
        <f t="shared" ref="E115:E118" si="48">"24"</f>
        <v>24</v>
      </c>
      <c r="F115" s="8" t="s">
        <v>14</v>
      </c>
      <c r="G115" s="8" t="s">
        <v>27</v>
      </c>
      <c r="H115" s="8" t="str">
        <f>"71"</f>
        <v>71</v>
      </c>
      <c r="I115" s="8" t="str">
        <f>"14"</f>
        <v>14</v>
      </c>
      <c r="J115" s="8">
        <v>86.2</v>
      </c>
      <c r="K115" s="8"/>
    </row>
    <row r="116" spans="1:11" s="4" customFormat="1" ht="14.25" customHeight="1">
      <c r="A116" s="8">
        <v>114</v>
      </c>
      <c r="B116" s="8" t="str">
        <f>"邓成"</f>
        <v>邓成</v>
      </c>
      <c r="C116" s="8" t="str">
        <f t="shared" si="47"/>
        <v>女</v>
      </c>
      <c r="D116" s="8" t="str">
        <f>"202301227615"</f>
        <v>202301227615</v>
      </c>
      <c r="E116" s="8" t="str">
        <f t="shared" si="48"/>
        <v>24</v>
      </c>
      <c r="F116" s="8" t="s">
        <v>14</v>
      </c>
      <c r="G116" s="8" t="s">
        <v>27</v>
      </c>
      <c r="H116" s="8" t="str">
        <f>"76"</f>
        <v>76</v>
      </c>
      <c r="I116" s="8" t="str">
        <f>"15"</f>
        <v>15</v>
      </c>
      <c r="J116" s="8">
        <v>85.65</v>
      </c>
      <c r="K116" s="8"/>
    </row>
    <row r="117" spans="1:11" s="4" customFormat="1" ht="14.25" customHeight="1">
      <c r="A117" s="8">
        <v>115</v>
      </c>
      <c r="B117" s="9" t="str">
        <f>"蒋晒娜"</f>
        <v>蒋晒娜</v>
      </c>
      <c r="C117" s="9" t="str">
        <f t="shared" si="47"/>
        <v>女</v>
      </c>
      <c r="D117" s="9" t="str">
        <f>"202301227305"</f>
        <v>202301227305</v>
      </c>
      <c r="E117" s="9" t="str">
        <f t="shared" si="48"/>
        <v>24</v>
      </c>
      <c r="F117" s="9" t="s">
        <v>14</v>
      </c>
      <c r="G117" s="9" t="s">
        <v>27</v>
      </c>
      <c r="H117" s="9" t="str">
        <f>"73"</f>
        <v>73</v>
      </c>
      <c r="I117" s="9" t="str">
        <f>"05"</f>
        <v>05</v>
      </c>
      <c r="J117" s="9">
        <v>85.55</v>
      </c>
      <c r="K117" s="9"/>
    </row>
    <row r="118" spans="1:11" s="4" customFormat="1" ht="14.25" customHeight="1">
      <c r="A118" s="8">
        <v>116</v>
      </c>
      <c r="B118" s="9" t="str">
        <f>"纪玲星"</f>
        <v>纪玲星</v>
      </c>
      <c r="C118" s="8" t="str">
        <f t="shared" si="47"/>
        <v>女</v>
      </c>
      <c r="D118" s="8" t="str">
        <f>"202301227412"</f>
        <v>202301227412</v>
      </c>
      <c r="E118" s="8" t="str">
        <f t="shared" si="48"/>
        <v>24</v>
      </c>
      <c r="F118" s="8" t="s">
        <v>14</v>
      </c>
      <c r="G118" s="8" t="s">
        <v>27</v>
      </c>
      <c r="H118" s="8" t="str">
        <f>"74"</f>
        <v>74</v>
      </c>
      <c r="I118" s="8" t="str">
        <f>"12"</f>
        <v>12</v>
      </c>
      <c r="J118" s="8">
        <v>85.35</v>
      </c>
      <c r="K118" s="8"/>
    </row>
    <row r="119" spans="1:11" s="4" customFormat="1" ht="14.25" customHeight="1">
      <c r="A119" s="8">
        <v>117</v>
      </c>
      <c r="B119" s="8" t="str">
        <f>"周艳彬"</f>
        <v>周艳彬</v>
      </c>
      <c r="C119" s="8" t="str">
        <f>"女"</f>
        <v>女</v>
      </c>
      <c r="D119" s="8" t="str">
        <f>"202301228210"</f>
        <v>202301228210</v>
      </c>
      <c r="E119" s="8" t="str">
        <f t="shared" ref="E119:E124" si="49">"25"</f>
        <v>25</v>
      </c>
      <c r="F119" s="8" t="s">
        <v>22</v>
      </c>
      <c r="G119" s="8" t="s">
        <v>27</v>
      </c>
      <c r="H119" s="8" t="str">
        <f>"82"</f>
        <v>82</v>
      </c>
      <c r="I119" s="8" t="str">
        <f>"10"</f>
        <v>10</v>
      </c>
      <c r="J119" s="8">
        <v>72.5</v>
      </c>
      <c r="K119" s="8"/>
    </row>
    <row r="120" spans="1:11" s="4" customFormat="1" ht="14.25" customHeight="1">
      <c r="A120" s="8">
        <v>118</v>
      </c>
      <c r="B120" s="8" t="str">
        <f>"张筱柔"</f>
        <v>张筱柔</v>
      </c>
      <c r="C120" s="8" t="str">
        <f>"女"</f>
        <v>女</v>
      </c>
      <c r="D120" s="8" t="str">
        <f>"202301228207"</f>
        <v>202301228207</v>
      </c>
      <c r="E120" s="8" t="str">
        <f t="shared" si="49"/>
        <v>25</v>
      </c>
      <c r="F120" s="8" t="s">
        <v>22</v>
      </c>
      <c r="G120" s="8" t="s">
        <v>27</v>
      </c>
      <c r="H120" s="8" t="str">
        <f>"82"</f>
        <v>82</v>
      </c>
      <c r="I120" s="8" t="str">
        <f>"07"</f>
        <v>07</v>
      </c>
      <c r="J120" s="8">
        <v>70.3</v>
      </c>
      <c r="K120" s="8"/>
    </row>
    <row r="121" spans="1:11" s="4" customFormat="1" ht="14.25" customHeight="1">
      <c r="A121" s="8">
        <v>119</v>
      </c>
      <c r="B121" s="9" t="str">
        <f>"魏倩英"</f>
        <v>魏倩英</v>
      </c>
      <c r="C121" s="8" t="str">
        <f>"女"</f>
        <v>女</v>
      </c>
      <c r="D121" s="8" t="str">
        <f>"202301228505"</f>
        <v>202301228505</v>
      </c>
      <c r="E121" s="8" t="str">
        <f t="shared" si="49"/>
        <v>25</v>
      </c>
      <c r="F121" s="8" t="s">
        <v>22</v>
      </c>
      <c r="G121" s="8" t="s">
        <v>27</v>
      </c>
      <c r="H121" s="8" t="str">
        <f>"85"</f>
        <v>85</v>
      </c>
      <c r="I121" s="8" t="str">
        <f>"05"</f>
        <v>05</v>
      </c>
      <c r="J121" s="8">
        <v>68.400000000000006</v>
      </c>
      <c r="K121" s="10"/>
    </row>
    <row r="122" spans="1:11" s="4" customFormat="1" ht="14.25" customHeight="1">
      <c r="A122" s="8">
        <v>120</v>
      </c>
      <c r="B122" s="8" t="str">
        <f>"陈茹艺"</f>
        <v>陈茹艺</v>
      </c>
      <c r="C122" s="8" t="str">
        <f>"女"</f>
        <v>女</v>
      </c>
      <c r="D122" s="8" t="str">
        <f>"202301228402"</f>
        <v>202301228402</v>
      </c>
      <c r="E122" s="8" t="str">
        <f t="shared" si="49"/>
        <v>25</v>
      </c>
      <c r="F122" s="8" t="s">
        <v>22</v>
      </c>
      <c r="G122" s="8" t="s">
        <v>27</v>
      </c>
      <c r="H122" s="8" t="str">
        <f>"84"</f>
        <v>84</v>
      </c>
      <c r="I122" s="8" t="str">
        <f>"02"</f>
        <v>02</v>
      </c>
      <c r="J122" s="8">
        <v>66.900000000000006</v>
      </c>
      <c r="K122" s="8"/>
    </row>
    <row r="123" spans="1:11" s="5" customFormat="1" ht="14.25" customHeight="1">
      <c r="A123" s="8">
        <v>121</v>
      </c>
      <c r="B123" s="8" t="str">
        <f>"王俊"</f>
        <v>王俊</v>
      </c>
      <c r="C123" s="8" t="str">
        <f>"男"</f>
        <v>男</v>
      </c>
      <c r="D123" s="8" t="str">
        <f>"202301228602"</f>
        <v>202301228602</v>
      </c>
      <c r="E123" s="8" t="str">
        <f t="shared" si="49"/>
        <v>25</v>
      </c>
      <c r="F123" s="8" t="s">
        <v>22</v>
      </c>
      <c r="G123" s="8" t="s">
        <v>27</v>
      </c>
      <c r="H123" s="8" t="str">
        <f>"86"</f>
        <v>86</v>
      </c>
      <c r="I123" s="8" t="str">
        <f>"02"</f>
        <v>02</v>
      </c>
      <c r="J123" s="8">
        <v>65.400000000000006</v>
      </c>
      <c r="K123" s="8"/>
    </row>
    <row r="124" spans="1:11" s="5" customFormat="1" ht="14.25" customHeight="1">
      <c r="A124" s="8">
        <v>122</v>
      </c>
      <c r="B124" s="8" t="str">
        <f>"唐洁"</f>
        <v>唐洁</v>
      </c>
      <c r="C124" s="8" t="str">
        <f t="shared" ref="C124" si="50">"女"</f>
        <v>女</v>
      </c>
      <c r="D124" s="8" t="str">
        <f>"202301228502"</f>
        <v>202301228502</v>
      </c>
      <c r="E124" s="8" t="str">
        <f t="shared" si="49"/>
        <v>25</v>
      </c>
      <c r="F124" s="8" t="s">
        <v>22</v>
      </c>
      <c r="G124" s="8" t="s">
        <v>27</v>
      </c>
      <c r="H124" s="8" t="str">
        <f>"85"</f>
        <v>85</v>
      </c>
      <c r="I124" s="8" t="str">
        <f>"02"</f>
        <v>02</v>
      </c>
      <c r="J124" s="8">
        <v>65.3</v>
      </c>
      <c r="K124" s="8"/>
    </row>
    <row r="125" spans="1:11" s="5" customFormat="1" ht="14.25" customHeight="1">
      <c r="A125" s="8">
        <v>123</v>
      </c>
      <c r="B125" s="8" t="str">
        <f>"黎佳丽"</f>
        <v>黎佳丽</v>
      </c>
      <c r="C125" s="8" t="str">
        <f t="shared" ref="C125:C127" si="51">"女"</f>
        <v>女</v>
      </c>
      <c r="D125" s="8" t="str">
        <f>"202301225319"</f>
        <v>202301225319</v>
      </c>
      <c r="E125" s="8" t="str">
        <f t="shared" ref="E125:E132" si="52">"26"</f>
        <v>26</v>
      </c>
      <c r="F125" s="8" t="s">
        <v>23</v>
      </c>
      <c r="G125" s="8" t="s">
        <v>27</v>
      </c>
      <c r="H125" s="8" t="str">
        <f>"53"</f>
        <v>53</v>
      </c>
      <c r="I125" s="8" t="str">
        <f>"19"</f>
        <v>19</v>
      </c>
      <c r="J125" s="8">
        <v>69.650000000000006</v>
      </c>
      <c r="K125" s="8"/>
    </row>
    <row r="126" spans="1:11" s="4" customFormat="1" ht="14.25" customHeight="1">
      <c r="A126" s="8">
        <v>124</v>
      </c>
      <c r="B126" s="8" t="str">
        <f>"陈丽娜"</f>
        <v>陈丽娜</v>
      </c>
      <c r="C126" s="8" t="str">
        <f t="shared" si="51"/>
        <v>女</v>
      </c>
      <c r="D126" s="8" t="str">
        <f>"202301225333"</f>
        <v>202301225333</v>
      </c>
      <c r="E126" s="8" t="str">
        <f t="shared" si="52"/>
        <v>26</v>
      </c>
      <c r="F126" s="8" t="s">
        <v>23</v>
      </c>
      <c r="G126" s="8" t="s">
        <v>27</v>
      </c>
      <c r="H126" s="8" t="str">
        <f>"53"</f>
        <v>53</v>
      </c>
      <c r="I126" s="8" t="str">
        <f>"33"</f>
        <v>33</v>
      </c>
      <c r="J126" s="8">
        <v>62.3</v>
      </c>
      <c r="K126" s="8"/>
    </row>
    <row r="127" spans="1:11" s="4" customFormat="1" ht="14.25" customHeight="1">
      <c r="A127" s="8">
        <v>125</v>
      </c>
      <c r="B127" s="8" t="str">
        <f>"文叠"</f>
        <v>文叠</v>
      </c>
      <c r="C127" s="8" t="str">
        <f t="shared" si="51"/>
        <v>女</v>
      </c>
      <c r="D127" s="8" t="str">
        <f>"202301225402"</f>
        <v>202301225402</v>
      </c>
      <c r="E127" s="8" t="str">
        <f t="shared" si="52"/>
        <v>26</v>
      </c>
      <c r="F127" s="8" t="s">
        <v>23</v>
      </c>
      <c r="G127" s="8" t="s">
        <v>27</v>
      </c>
      <c r="H127" s="8" t="str">
        <f>"54"</f>
        <v>54</v>
      </c>
      <c r="I127" s="8" t="str">
        <f>"02"</f>
        <v>02</v>
      </c>
      <c r="J127" s="8">
        <v>61.05</v>
      </c>
      <c r="K127" s="8"/>
    </row>
    <row r="128" spans="1:11" s="5" customFormat="1" ht="14.25" customHeight="1">
      <c r="A128" s="8">
        <v>126</v>
      </c>
      <c r="B128" s="8" t="str">
        <f>"唐旭荣"</f>
        <v>唐旭荣</v>
      </c>
      <c r="C128" s="8" t="str">
        <f>"男"</f>
        <v>男</v>
      </c>
      <c r="D128" s="8" t="str">
        <f>"202301225432"</f>
        <v>202301225432</v>
      </c>
      <c r="E128" s="8" t="str">
        <f t="shared" si="52"/>
        <v>26</v>
      </c>
      <c r="F128" s="8" t="s">
        <v>23</v>
      </c>
      <c r="G128" s="8" t="s">
        <v>27</v>
      </c>
      <c r="H128" s="8" t="str">
        <f>"54"</f>
        <v>54</v>
      </c>
      <c r="I128" s="8" t="str">
        <f>"32"</f>
        <v>32</v>
      </c>
      <c r="J128" s="8">
        <v>61</v>
      </c>
      <c r="K128" s="8"/>
    </row>
    <row r="129" spans="1:11" s="5" customFormat="1" ht="14.25" customHeight="1">
      <c r="A129" s="8">
        <v>127</v>
      </c>
      <c r="B129" s="8" t="str">
        <f>"刘中正"</f>
        <v>刘中正</v>
      </c>
      <c r="C129" s="8" t="str">
        <f>"男"</f>
        <v>男</v>
      </c>
      <c r="D129" s="8" t="str">
        <f>"202301225133"</f>
        <v>202301225133</v>
      </c>
      <c r="E129" s="8" t="str">
        <f t="shared" si="52"/>
        <v>26</v>
      </c>
      <c r="F129" s="8" t="s">
        <v>23</v>
      </c>
      <c r="G129" s="8" t="s">
        <v>27</v>
      </c>
      <c r="H129" s="8" t="str">
        <f>"51"</f>
        <v>51</v>
      </c>
      <c r="I129" s="8" t="str">
        <f>"33"</f>
        <v>33</v>
      </c>
      <c r="J129" s="8">
        <v>60.75</v>
      </c>
      <c r="K129" s="8"/>
    </row>
    <row r="130" spans="1:11" s="4" customFormat="1" ht="14.25" customHeight="1">
      <c r="A130" s="8">
        <v>128</v>
      </c>
      <c r="B130" s="8" t="str">
        <f>"彭天野"</f>
        <v>彭天野</v>
      </c>
      <c r="C130" s="8" t="str">
        <f>"男"</f>
        <v>男</v>
      </c>
      <c r="D130" s="8" t="str">
        <f>"202301225308"</f>
        <v>202301225308</v>
      </c>
      <c r="E130" s="8" t="str">
        <f t="shared" si="52"/>
        <v>26</v>
      </c>
      <c r="F130" s="8" t="s">
        <v>23</v>
      </c>
      <c r="G130" s="8" t="s">
        <v>27</v>
      </c>
      <c r="H130" s="8" t="str">
        <f>"53"</f>
        <v>53</v>
      </c>
      <c r="I130" s="8" t="str">
        <f>"08"</f>
        <v>08</v>
      </c>
      <c r="J130" s="8">
        <v>59.7</v>
      </c>
      <c r="K130" s="8"/>
    </row>
    <row r="131" spans="1:11" s="5" customFormat="1" ht="14.25" customHeight="1">
      <c r="A131" s="8">
        <v>129</v>
      </c>
      <c r="B131" s="8" t="str">
        <f>"唐香"</f>
        <v>唐香</v>
      </c>
      <c r="C131" s="8" t="str">
        <f>"女"</f>
        <v>女</v>
      </c>
      <c r="D131" s="8" t="str">
        <f>"202301225311"</f>
        <v>202301225311</v>
      </c>
      <c r="E131" s="8" t="str">
        <f t="shared" si="52"/>
        <v>26</v>
      </c>
      <c r="F131" s="8" t="s">
        <v>23</v>
      </c>
      <c r="G131" s="8" t="s">
        <v>27</v>
      </c>
      <c r="H131" s="8" t="str">
        <f>"53"</f>
        <v>53</v>
      </c>
      <c r="I131" s="8" t="str">
        <f>"11"</f>
        <v>11</v>
      </c>
      <c r="J131" s="8">
        <v>59.2</v>
      </c>
      <c r="K131" s="8"/>
    </row>
    <row r="132" spans="1:11" s="5" customFormat="1" ht="14.25" customHeight="1">
      <c r="A132" s="8">
        <v>130</v>
      </c>
      <c r="B132" s="8" t="str">
        <f>"李婧"</f>
        <v>李婧</v>
      </c>
      <c r="C132" s="8" t="str">
        <f>"女"</f>
        <v>女</v>
      </c>
      <c r="D132" s="8" t="str">
        <f>"202301225209"</f>
        <v>202301225209</v>
      </c>
      <c r="E132" s="8" t="str">
        <f t="shared" si="52"/>
        <v>26</v>
      </c>
      <c r="F132" s="8" t="s">
        <v>23</v>
      </c>
      <c r="G132" s="8" t="s">
        <v>27</v>
      </c>
      <c r="H132" s="8" t="str">
        <f>"52"</f>
        <v>52</v>
      </c>
      <c r="I132" s="8" t="str">
        <f>"09"</f>
        <v>09</v>
      </c>
      <c r="J132" s="8">
        <v>58.95</v>
      </c>
      <c r="K132" s="8"/>
    </row>
    <row r="133" spans="1:11" s="4" customFormat="1" ht="14.25" customHeight="1">
      <c r="A133" s="8">
        <v>131</v>
      </c>
      <c r="B133" s="8" t="str">
        <f>"杨雪儿"</f>
        <v>杨雪儿</v>
      </c>
      <c r="C133" s="8" t="str">
        <f>"女"</f>
        <v>女</v>
      </c>
      <c r="D133" s="8" t="str">
        <f>"202301226010"</f>
        <v>202301226010</v>
      </c>
      <c r="E133" s="8" t="str">
        <f t="shared" ref="E133:E136" si="53">"27"</f>
        <v>27</v>
      </c>
      <c r="F133" s="8" t="s">
        <v>24</v>
      </c>
      <c r="G133" s="8" t="s">
        <v>27</v>
      </c>
      <c r="H133" s="8" t="str">
        <f>"60"</f>
        <v>60</v>
      </c>
      <c r="I133" s="8" t="str">
        <f>"10"</f>
        <v>10</v>
      </c>
      <c r="J133" s="8">
        <v>85.7</v>
      </c>
      <c r="K133" s="8"/>
    </row>
    <row r="134" spans="1:11" s="4" customFormat="1" ht="14.25" customHeight="1">
      <c r="A134" s="8">
        <v>132</v>
      </c>
      <c r="B134" s="8" t="str">
        <f>"李哲"</f>
        <v>李哲</v>
      </c>
      <c r="C134" s="8" t="str">
        <f>"男"</f>
        <v>男</v>
      </c>
      <c r="D134" s="8" t="str">
        <f>"202301226320"</f>
        <v>202301226320</v>
      </c>
      <c r="E134" s="8" t="str">
        <f t="shared" si="53"/>
        <v>27</v>
      </c>
      <c r="F134" s="8" t="s">
        <v>24</v>
      </c>
      <c r="G134" s="8" t="s">
        <v>27</v>
      </c>
      <c r="H134" s="8" t="str">
        <f>"63"</f>
        <v>63</v>
      </c>
      <c r="I134" s="8" t="str">
        <f>"20"</f>
        <v>20</v>
      </c>
      <c r="J134" s="8">
        <v>85.55</v>
      </c>
      <c r="K134" s="8"/>
    </row>
    <row r="135" spans="1:11" s="4" customFormat="1" ht="14.25" customHeight="1">
      <c r="A135" s="8">
        <v>133</v>
      </c>
      <c r="B135" s="8" t="str">
        <f>"夏芷欣"</f>
        <v>夏芷欣</v>
      </c>
      <c r="C135" s="8" t="str">
        <f>"女"</f>
        <v>女</v>
      </c>
      <c r="D135" s="8" t="str">
        <f>"202301226132"</f>
        <v>202301226132</v>
      </c>
      <c r="E135" s="8" t="str">
        <f t="shared" si="53"/>
        <v>27</v>
      </c>
      <c r="F135" s="8" t="s">
        <v>24</v>
      </c>
      <c r="G135" s="8" t="s">
        <v>27</v>
      </c>
      <c r="H135" s="8" t="str">
        <f>"61"</f>
        <v>61</v>
      </c>
      <c r="I135" s="8" t="str">
        <f>"32"</f>
        <v>32</v>
      </c>
      <c r="J135" s="8">
        <v>83.8</v>
      </c>
      <c r="K135" s="8"/>
    </row>
    <row r="136" spans="1:11" s="4" customFormat="1" ht="14.25" customHeight="1">
      <c r="A136" s="8">
        <v>134</v>
      </c>
      <c r="B136" s="8" t="str">
        <f>"雷菲"</f>
        <v>雷菲</v>
      </c>
      <c r="C136" s="8" t="str">
        <f>"女"</f>
        <v>女</v>
      </c>
      <c r="D136" s="8" t="str">
        <f>"202301226406"</f>
        <v>202301226406</v>
      </c>
      <c r="E136" s="8" t="str">
        <f t="shared" si="53"/>
        <v>27</v>
      </c>
      <c r="F136" s="8" t="s">
        <v>24</v>
      </c>
      <c r="G136" s="8" t="s">
        <v>27</v>
      </c>
      <c r="H136" s="8" t="str">
        <f>"64"</f>
        <v>64</v>
      </c>
      <c r="I136" s="8" t="str">
        <f>"06"</f>
        <v>06</v>
      </c>
      <c r="J136" s="8">
        <v>83.55</v>
      </c>
      <c r="K136" s="8"/>
    </row>
    <row r="137" spans="1:11" s="4" customFormat="1" ht="14.25" customHeight="1">
      <c r="A137" s="8">
        <v>135</v>
      </c>
      <c r="B137" s="8" t="str">
        <f>"陈丽兰"</f>
        <v>陈丽兰</v>
      </c>
      <c r="C137" s="8" t="str">
        <f>"女"</f>
        <v>女</v>
      </c>
      <c r="D137" s="8" t="str">
        <f>"202301225910"</f>
        <v>202301225910</v>
      </c>
      <c r="E137" s="8" t="str">
        <f t="shared" ref="E137:E140" si="54">"28"</f>
        <v>28</v>
      </c>
      <c r="F137" s="8" t="s">
        <v>26</v>
      </c>
      <c r="G137" s="8" t="s">
        <v>27</v>
      </c>
      <c r="H137" s="8" t="str">
        <f>"59"</f>
        <v>59</v>
      </c>
      <c r="I137" s="8" t="str">
        <f>"10"</f>
        <v>10</v>
      </c>
      <c r="J137" s="8">
        <v>82.65</v>
      </c>
      <c r="K137" s="8"/>
    </row>
    <row r="138" spans="1:11" s="4" customFormat="1" ht="14.25" customHeight="1">
      <c r="A138" s="8">
        <v>136</v>
      </c>
      <c r="B138" s="8" t="str">
        <f>"刘小敏"</f>
        <v>刘小敏</v>
      </c>
      <c r="C138" s="8" t="str">
        <f>"女"</f>
        <v>女</v>
      </c>
      <c r="D138" s="8" t="str">
        <f>"202301225731"</f>
        <v>202301225731</v>
      </c>
      <c r="E138" s="8" t="str">
        <f t="shared" si="54"/>
        <v>28</v>
      </c>
      <c r="F138" s="8" t="s">
        <v>26</v>
      </c>
      <c r="G138" s="8" t="s">
        <v>27</v>
      </c>
      <c r="H138" s="8" t="str">
        <f>"57"</f>
        <v>57</v>
      </c>
      <c r="I138" s="8" t="str">
        <f>"31"</f>
        <v>31</v>
      </c>
      <c r="J138" s="8">
        <v>77.75</v>
      </c>
      <c r="K138" s="8"/>
    </row>
    <row r="139" spans="1:11" s="4" customFormat="1" ht="14.25" customHeight="1">
      <c r="A139" s="8">
        <v>137</v>
      </c>
      <c r="B139" s="8" t="str">
        <f>"卜继江"</f>
        <v>卜继江</v>
      </c>
      <c r="C139" s="8" t="str">
        <f>"男"</f>
        <v>男</v>
      </c>
      <c r="D139" s="8" t="str">
        <f>"202301225718"</f>
        <v>202301225718</v>
      </c>
      <c r="E139" s="8" t="str">
        <f t="shared" si="54"/>
        <v>28</v>
      </c>
      <c r="F139" s="8" t="s">
        <v>26</v>
      </c>
      <c r="G139" s="8" t="s">
        <v>27</v>
      </c>
      <c r="H139" s="8" t="str">
        <f>"57"</f>
        <v>57</v>
      </c>
      <c r="I139" s="8" t="str">
        <f>"18"</f>
        <v>18</v>
      </c>
      <c r="J139" s="8">
        <v>77.45</v>
      </c>
      <c r="K139" s="8"/>
    </row>
    <row r="140" spans="1:11" s="5" customFormat="1" ht="14.25" customHeight="1">
      <c r="A140" s="8">
        <v>138</v>
      </c>
      <c r="B140" s="8" t="str">
        <f>"蒋丽"</f>
        <v>蒋丽</v>
      </c>
      <c r="C140" s="8" t="str">
        <f t="shared" ref="C140" si="55">"女"</f>
        <v>女</v>
      </c>
      <c r="D140" s="8" t="str">
        <f>"202301225610"</f>
        <v>202301225610</v>
      </c>
      <c r="E140" s="8" t="str">
        <f t="shared" si="54"/>
        <v>28</v>
      </c>
      <c r="F140" s="8" t="s">
        <v>26</v>
      </c>
      <c r="G140" s="8" t="s">
        <v>27</v>
      </c>
      <c r="H140" s="8" t="str">
        <f>"56"</f>
        <v>56</v>
      </c>
      <c r="I140" s="8" t="str">
        <f>"10"</f>
        <v>10</v>
      </c>
      <c r="J140" s="8">
        <v>76.8</v>
      </c>
      <c r="K140" s="8"/>
    </row>
  </sheetData>
  <sortState ref="A3:M6748">
    <sortCondition ref="E3:E6748"/>
    <sortCondition descending="1" ref="J3:J6748"/>
  </sortState>
  <mergeCells count="1">
    <mergeCell ref="A1:K1"/>
  </mergeCells>
  <phoneticPr fontId="2" type="noConversion"/>
  <pageMargins left="0.27500000000000002" right="7.8472222222222193E-2" top="0.31458333333333299" bottom="0.27500000000000002" header="0.196527777777778" footer="0.10625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5473_64ad552749313</vt:lpstr>
      <vt:lpstr>'5473_64ad552749313'!Print_Area</vt:lpstr>
      <vt:lpstr>'5473_64ad552749313'!Print_Titles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2023-08-04T00:46:51Z</cp:lastPrinted>
  <dcterms:created xsi:type="dcterms:W3CDTF">2023-07-11T13:36:00Z</dcterms:created>
  <dcterms:modified xsi:type="dcterms:W3CDTF">2023-08-04T02:06:29Z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73D93132B86B42F6A0D0908909C7C772_13</vt:lpwstr>
  </property>
  <property fmtid="{D5CDD505-2E9C-101B-9397-08002B2CF9AE}" pid="3" name="KSOProductBuildVer">
    <vt:lpwstr>2052-12.1.0.15120</vt:lpwstr>
  </property>
</Properties>
</file>